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4"/>
  <workbookPr/>
  <mc:AlternateContent xmlns:mc="http://schemas.openxmlformats.org/markup-compatibility/2006">
    <mc:Choice Requires="x15">
      <x15ac:absPath xmlns:x15ac="http://schemas.microsoft.com/office/spreadsheetml/2010/11/ac" url="C:\Users\PC\AppData\Local\Temp\Rar$DIa7692.42946.rartemp\"/>
    </mc:Choice>
  </mc:AlternateContent>
  <xr:revisionPtr revIDLastSave="37" documentId="13_ncr:1_{3F1B42C4-896B-4ACF-8B6B-1CEC851D5A40}" xr6:coauthVersionLast="47" xr6:coauthVersionMax="47" xr10:uidLastSave="{994E932F-C9A1-47F1-B850-E3377BEE8AF4}"/>
  <bookViews>
    <workbookView xWindow="-120" yWindow="-120" windowWidth="20730" windowHeight="11040" tabRatio="437" firstSheet="1" activeTab="1" xr2:uid="{96B0F4B0-8E44-486A-B4CC-8118F1C002A2}"/>
  </bookViews>
  <sheets>
    <sheet name="ESTIMATIONS" sheetId="4" r:id="rId1"/>
    <sheet name="SUMMARY" sheetId="8" r:id="rId2"/>
    <sheet name="BOQ" sheetId="3" r:id="rId3"/>
    <sheet name="MRF" sheetId="6" r:id="rId4"/>
    <sheet name="DH+BHC MRFs" sheetId="7" r:id="rId5"/>
  </sheets>
  <externalReferences>
    <externalReference r:id="rId6"/>
  </externalReferences>
  <definedNames>
    <definedName name="_xlnm._FilterDatabase" localSheetId="2" hidden="1">BOQ!$B$13:$J$204</definedName>
    <definedName name="_xlnm._FilterDatabase" localSheetId="1" hidden="1">SUMMARY!$B$13:$J$204</definedName>
    <definedName name="_xlnm.Print_Area" localSheetId="2">BOQ!$B$1:$J$201</definedName>
    <definedName name="_xlnm.Print_Area" localSheetId="4">'DH+BHC MRFs'!$B$1:$Q$218</definedName>
    <definedName name="_xlnm.Print_Area" localSheetId="0">ESTIMATIONS!$A$1:$I$112</definedName>
    <definedName name="_xlnm.Print_Area" localSheetId="3">MRF!$B$1:$Q$98</definedName>
    <definedName name="_xlnm.Print_Area" localSheetId="1">SUMMARY!$B$1:$J$201</definedName>
    <definedName name="_xlnm.Print_Titles" localSheetId="2">BOQ!$11:$12</definedName>
    <definedName name="_xlnm.Print_Titles" localSheetId="4">'DH+BHC MRFs'!$10:$12</definedName>
    <definedName name="_xlnm.Print_Titles" localSheetId="3">MRF!$10:$12</definedName>
    <definedName name="_xlnm.Print_Titles" localSheetId="1">SUMMARY!$11:$12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201" i="8" l="1"/>
  <c r="O14" i="8"/>
  <c r="O15" i="8"/>
  <c r="O16" i="8"/>
  <c r="O17" i="8"/>
  <c r="O18" i="8"/>
  <c r="O19" i="8"/>
  <c r="O20" i="8"/>
  <c r="O21" i="8"/>
  <c r="O22" i="8"/>
  <c r="O23" i="8"/>
  <c r="O24" i="8"/>
  <c r="O25" i="8"/>
  <c r="O26" i="8"/>
  <c r="O27" i="8"/>
  <c r="O28" i="8"/>
  <c r="O29" i="8"/>
  <c r="O30" i="8"/>
  <c r="O31" i="8"/>
  <c r="O32" i="8"/>
  <c r="O33" i="8"/>
  <c r="O34" i="8"/>
  <c r="O35" i="8"/>
  <c r="O36" i="8"/>
  <c r="O37" i="8"/>
  <c r="O38" i="8"/>
  <c r="O39" i="8"/>
  <c r="O40" i="8"/>
  <c r="O41" i="8"/>
  <c r="O42" i="8"/>
  <c r="O43" i="8"/>
  <c r="O44" i="8"/>
  <c r="O45" i="8"/>
  <c r="O46" i="8"/>
  <c r="O47" i="8"/>
  <c r="O48" i="8"/>
  <c r="O49" i="8"/>
  <c r="O50" i="8"/>
  <c r="O51" i="8"/>
  <c r="O52" i="8"/>
  <c r="O53" i="8"/>
  <c r="O54" i="8"/>
  <c r="O55" i="8"/>
  <c r="O56" i="8"/>
  <c r="O57" i="8"/>
  <c r="O58" i="8"/>
  <c r="O59" i="8"/>
  <c r="O60" i="8"/>
  <c r="O61" i="8"/>
  <c r="O62" i="8"/>
  <c r="O63" i="8"/>
  <c r="O64" i="8"/>
  <c r="O65" i="8"/>
  <c r="O66" i="8"/>
  <c r="O67" i="8"/>
  <c r="O68" i="8"/>
  <c r="O69" i="8"/>
  <c r="O70" i="8"/>
  <c r="O71" i="8"/>
  <c r="O72" i="8"/>
  <c r="O73" i="8"/>
  <c r="O74" i="8"/>
  <c r="O75" i="8"/>
  <c r="O76" i="8"/>
  <c r="O77" i="8"/>
  <c r="O78" i="8"/>
  <c r="O79" i="8"/>
  <c r="O80" i="8"/>
  <c r="O81" i="8"/>
  <c r="O82" i="8"/>
  <c r="O83" i="8"/>
  <c r="O84" i="8"/>
  <c r="O85" i="8"/>
  <c r="O86" i="8"/>
  <c r="O87" i="8"/>
  <c r="O88" i="8"/>
  <c r="O89" i="8"/>
  <c r="O90" i="8"/>
  <c r="O91" i="8"/>
  <c r="O92" i="8"/>
  <c r="O93" i="8"/>
  <c r="O94" i="8"/>
  <c r="O95" i="8"/>
  <c r="O96" i="8"/>
  <c r="O97" i="8"/>
  <c r="O98" i="8"/>
  <c r="O99" i="8"/>
  <c r="O100" i="8"/>
  <c r="O101" i="8"/>
  <c r="O102" i="8"/>
  <c r="O103" i="8"/>
  <c r="O104" i="8"/>
  <c r="O105" i="8"/>
  <c r="O106" i="8"/>
  <c r="O107" i="8"/>
  <c r="O108" i="8"/>
  <c r="O109" i="8"/>
  <c r="O110" i="8"/>
  <c r="O111" i="8"/>
  <c r="O112" i="8"/>
  <c r="O113" i="8"/>
  <c r="O114" i="8"/>
  <c r="O115" i="8"/>
  <c r="O116" i="8"/>
  <c r="O117" i="8"/>
  <c r="O118" i="8"/>
  <c r="O119" i="8"/>
  <c r="O120" i="8"/>
  <c r="O121" i="8"/>
  <c r="O122" i="8"/>
  <c r="O123" i="8"/>
  <c r="O124" i="8"/>
  <c r="O125" i="8"/>
  <c r="O126" i="8"/>
  <c r="O127" i="8"/>
  <c r="O128" i="8"/>
  <c r="O129" i="8"/>
  <c r="O130" i="8"/>
  <c r="O131" i="8"/>
  <c r="O132" i="8"/>
  <c r="O133" i="8"/>
  <c r="O134" i="8"/>
  <c r="O135" i="8"/>
  <c r="O136" i="8"/>
  <c r="O137" i="8"/>
  <c r="O138" i="8"/>
  <c r="O139" i="8"/>
  <c r="O140" i="8"/>
  <c r="O141" i="8"/>
  <c r="O142" i="8"/>
  <c r="O143" i="8"/>
  <c r="O144" i="8"/>
  <c r="O145" i="8"/>
  <c r="O146" i="8"/>
  <c r="O147" i="8"/>
  <c r="O148" i="8"/>
  <c r="O149" i="8"/>
  <c r="O150" i="8"/>
  <c r="O151" i="8"/>
  <c r="O152" i="8"/>
  <c r="O153" i="8"/>
  <c r="O154" i="8"/>
  <c r="O155" i="8"/>
  <c r="O156" i="8"/>
  <c r="O157" i="8"/>
  <c r="O158" i="8"/>
  <c r="O159" i="8"/>
  <c r="O160" i="8"/>
  <c r="O161" i="8"/>
  <c r="O162" i="8"/>
  <c r="O163" i="8"/>
  <c r="O164" i="8"/>
  <c r="O165" i="8"/>
  <c r="O166" i="8"/>
  <c r="O167" i="8"/>
  <c r="O168" i="8"/>
  <c r="O169" i="8"/>
  <c r="O170" i="8"/>
  <c r="O171" i="8"/>
  <c r="O172" i="8"/>
  <c r="O173" i="8"/>
  <c r="O174" i="8"/>
  <c r="O175" i="8"/>
  <c r="O176" i="8"/>
  <c r="O177" i="8"/>
  <c r="O178" i="8"/>
  <c r="O179" i="8"/>
  <c r="O180" i="8"/>
  <c r="O181" i="8"/>
  <c r="O182" i="8"/>
  <c r="O183" i="8"/>
  <c r="O184" i="8"/>
  <c r="O185" i="8"/>
  <c r="O186" i="8"/>
  <c r="O187" i="8"/>
  <c r="O188" i="8"/>
  <c r="O189" i="8"/>
  <c r="O190" i="8"/>
  <c r="O191" i="8"/>
  <c r="O192" i="8"/>
  <c r="O193" i="8"/>
  <c r="O194" i="8"/>
  <c r="O195" i="8"/>
  <c r="O196" i="8"/>
  <c r="O197" i="8"/>
  <c r="O198" i="8"/>
  <c r="O13" i="8"/>
  <c r="J201" i="8"/>
  <c r="J199" i="8"/>
  <c r="J198" i="8" s="1"/>
  <c r="I198" i="8" s="1"/>
  <c r="J197" i="8"/>
  <c r="J196" i="8"/>
  <c r="J195" i="8" s="1"/>
  <c r="I195" i="8" s="1"/>
  <c r="J193" i="8"/>
  <c r="J192" i="8"/>
  <c r="J191" i="8"/>
  <c r="J190" i="8"/>
  <c r="J189" i="8"/>
  <c r="J188" i="8"/>
  <c r="J187" i="8"/>
  <c r="J186" i="8"/>
  <c r="J185" i="8"/>
  <c r="J184" i="8"/>
  <c r="J183" i="8"/>
  <c r="J182" i="8"/>
  <c r="J181" i="8"/>
  <c r="J180" i="8"/>
  <c r="J179" i="8"/>
  <c r="J178" i="8"/>
  <c r="J177" i="8"/>
  <c r="J176" i="8"/>
  <c r="C176" i="8"/>
  <c r="C177" i="8" s="1"/>
  <c r="C178" i="8" s="1"/>
  <c r="C179" i="8" s="1"/>
  <c r="C180" i="8" s="1"/>
  <c r="C181" i="8" s="1"/>
  <c r="C182" i="8" s="1"/>
  <c r="C183" i="8" s="1"/>
  <c r="C184" i="8" s="1"/>
  <c r="C185" i="8" s="1"/>
  <c r="C186" i="8" s="1"/>
  <c r="C187" i="8" s="1"/>
  <c r="C188" i="8" s="1"/>
  <c r="C189" i="8" s="1"/>
  <c r="C190" i="8" s="1"/>
  <c r="C191" i="8" s="1"/>
  <c r="C192" i="8" s="1"/>
  <c r="C193" i="8" s="1"/>
  <c r="J175" i="8"/>
  <c r="J173" i="8"/>
  <c r="J172" i="8" s="1"/>
  <c r="I172" i="8" s="1"/>
  <c r="J171" i="8"/>
  <c r="J170" i="8"/>
  <c r="J169" i="8"/>
  <c r="J168" i="8"/>
  <c r="J167" i="8"/>
  <c r="J166" i="8"/>
  <c r="J164" i="8"/>
  <c r="J163" i="8"/>
  <c r="J162" i="8"/>
  <c r="J161" i="8"/>
  <c r="J160" i="8"/>
  <c r="J159" i="8"/>
  <c r="J157" i="8"/>
  <c r="J156" i="8"/>
  <c r="J155" i="8"/>
  <c r="J154" i="8"/>
  <c r="J153" i="8"/>
  <c r="J150" i="8"/>
  <c r="J149" i="8"/>
  <c r="J148" i="8"/>
  <c r="J147" i="8"/>
  <c r="J146" i="8"/>
  <c r="J145" i="8"/>
  <c r="J144" i="8"/>
  <c r="J143" i="8"/>
  <c r="J142" i="8"/>
  <c r="J141" i="8"/>
  <c r="J140" i="8"/>
  <c r="J139" i="8"/>
  <c r="J138" i="8"/>
  <c r="J137" i="8"/>
  <c r="J136" i="8"/>
  <c r="J135" i="8"/>
  <c r="J134" i="8"/>
  <c r="J133" i="8"/>
  <c r="J132" i="8"/>
  <c r="J131" i="8"/>
  <c r="H130" i="8"/>
  <c r="G130" i="8"/>
  <c r="J130" i="8" s="1"/>
  <c r="F130" i="8"/>
  <c r="J129" i="8"/>
  <c r="H129" i="8"/>
  <c r="F129" i="8"/>
  <c r="H128" i="8"/>
  <c r="G128" i="8"/>
  <c r="J128" i="8" s="1"/>
  <c r="F128" i="8"/>
  <c r="H127" i="8"/>
  <c r="G127" i="8"/>
  <c r="J127" i="8" s="1"/>
  <c r="H126" i="8"/>
  <c r="G126" i="8"/>
  <c r="J126" i="8" s="1"/>
  <c r="H125" i="8"/>
  <c r="G125" i="8"/>
  <c r="J125" i="8" s="1"/>
  <c r="H124" i="8"/>
  <c r="G124" i="8"/>
  <c r="J124" i="8" s="1"/>
  <c r="H123" i="8"/>
  <c r="G123" i="8"/>
  <c r="J123" i="8" s="1"/>
  <c r="H122" i="8"/>
  <c r="G122" i="8"/>
  <c r="J122" i="8" s="1"/>
  <c r="J121" i="8"/>
  <c r="C121" i="8"/>
  <c r="C122" i="8" s="1"/>
  <c r="C123" i="8" s="1"/>
  <c r="C124" i="8" s="1"/>
  <c r="C125" i="8" s="1"/>
  <c r="C126" i="8" s="1"/>
  <c r="C127" i="8" s="1"/>
  <c r="C128" i="8" s="1"/>
  <c r="C129" i="8" s="1"/>
  <c r="C130" i="8" s="1"/>
  <c r="C131" i="8" s="1"/>
  <c r="C132" i="8" s="1"/>
  <c r="C133" i="8" s="1"/>
  <c r="C134" i="8" s="1"/>
  <c r="C135" i="8" s="1"/>
  <c r="C136" i="8" s="1"/>
  <c r="C137" i="8" s="1"/>
  <c r="C138" i="8" s="1"/>
  <c r="C139" i="8" s="1"/>
  <c r="C140" i="8" s="1"/>
  <c r="C141" i="8" s="1"/>
  <c r="C142" i="8" s="1"/>
  <c r="C143" i="8" s="1"/>
  <c r="C144" i="8" s="1"/>
  <c r="C145" i="8" s="1"/>
  <c r="C146" i="8" s="1"/>
  <c r="C147" i="8" s="1"/>
  <c r="C148" i="8" s="1"/>
  <c r="C149" i="8" s="1"/>
  <c r="C150" i="8" s="1"/>
  <c r="G120" i="8"/>
  <c r="J120" i="8" s="1"/>
  <c r="J117" i="8"/>
  <c r="J116" i="8"/>
  <c r="J115" i="8"/>
  <c r="J114" i="8"/>
  <c r="J113" i="8"/>
  <c r="J112" i="8"/>
  <c r="J111" i="8"/>
  <c r="J110" i="8"/>
  <c r="J109" i="8"/>
  <c r="J108" i="8"/>
  <c r="J107" i="8"/>
  <c r="J106" i="8"/>
  <c r="G105" i="8"/>
  <c r="J105" i="8" s="1"/>
  <c r="F105" i="8"/>
  <c r="J104" i="8"/>
  <c r="J103" i="8"/>
  <c r="J102" i="8"/>
  <c r="C102" i="8"/>
  <c r="C103" i="8" s="1"/>
  <c r="C104" i="8" s="1"/>
  <c r="C105" i="8" s="1"/>
  <c r="C106" i="8" s="1"/>
  <c r="C107" i="8" s="1"/>
  <c r="C108" i="8" s="1"/>
  <c r="C109" i="8" s="1"/>
  <c r="C110" i="8" s="1"/>
  <c r="C111" i="8" s="1"/>
  <c r="C112" i="8" s="1"/>
  <c r="C113" i="8" s="1"/>
  <c r="C114" i="8" s="1"/>
  <c r="C115" i="8" s="1"/>
  <c r="C116" i="8" s="1"/>
  <c r="C117" i="8" s="1"/>
  <c r="J101" i="8"/>
  <c r="J98" i="8"/>
  <c r="G97" i="8"/>
  <c r="J97" i="8" s="1"/>
  <c r="G96" i="8"/>
  <c r="J96" i="8" s="1"/>
  <c r="G92" i="8"/>
  <c r="J92" i="8" s="1"/>
  <c r="G90" i="8"/>
  <c r="G94" i="8" s="1"/>
  <c r="J94" i="8" s="1"/>
  <c r="G82" i="8"/>
  <c r="G75" i="8"/>
  <c r="G72" i="8"/>
  <c r="G73" i="8" s="1"/>
  <c r="J73" i="8" s="1"/>
  <c r="J72" i="8" s="1"/>
  <c r="I72" i="8" s="1"/>
  <c r="F72" i="8"/>
  <c r="J71" i="8"/>
  <c r="J70" i="8"/>
  <c r="G69" i="8"/>
  <c r="I69" i="8" s="1"/>
  <c r="G61" i="8"/>
  <c r="G66" i="8" s="1"/>
  <c r="J66" i="8" s="1"/>
  <c r="J57" i="8"/>
  <c r="G56" i="8"/>
  <c r="J56" i="8" s="1"/>
  <c r="G55" i="8"/>
  <c r="J55" i="8" s="1"/>
  <c r="G54" i="8"/>
  <c r="G53" i="8"/>
  <c r="J53" i="8" s="1"/>
  <c r="J52" i="8"/>
  <c r="J51" i="8"/>
  <c r="J50" i="8"/>
  <c r="J49" i="8"/>
  <c r="J48" i="8"/>
  <c r="C48" i="8"/>
  <c r="C49" i="8" s="1"/>
  <c r="C50" i="8" s="1"/>
  <c r="C51" i="8" s="1"/>
  <c r="C52" i="8" s="1"/>
  <c r="C53" i="8" s="1"/>
  <c r="C54" i="8" s="1"/>
  <c r="C55" i="8" s="1"/>
  <c r="C56" i="8" s="1"/>
  <c r="C57" i="8" s="1"/>
  <c r="C58" i="8" s="1"/>
  <c r="C59" i="8" s="1"/>
  <c r="J47" i="8"/>
  <c r="G38" i="8"/>
  <c r="G30" i="8"/>
  <c r="G35" i="8" s="1"/>
  <c r="D26" i="8"/>
  <c r="D25" i="8"/>
  <c r="D24" i="8"/>
  <c r="G22" i="8"/>
  <c r="N20" i="8"/>
  <c r="G19" i="8"/>
  <c r="G20" i="8" s="1"/>
  <c r="J20" i="8" s="1"/>
  <c r="J19" i="8" s="1"/>
  <c r="I19" i="8" s="1"/>
  <c r="F19" i="8"/>
  <c r="G16" i="8"/>
  <c r="G17" i="8" s="1"/>
  <c r="J17" i="8" s="1"/>
  <c r="J16" i="8" s="1"/>
  <c r="F16" i="8"/>
  <c r="G13" i="8"/>
  <c r="H207" i="7"/>
  <c r="H208" i="7" s="1"/>
  <c r="G89" i="7"/>
  <c r="H89" i="7" s="1"/>
  <c r="C89" i="7"/>
  <c r="A89" i="7"/>
  <c r="G88" i="7"/>
  <c r="H88" i="7" s="1"/>
  <c r="C88" i="7"/>
  <c r="A88" i="7"/>
  <c r="G87" i="7"/>
  <c r="E87" i="7"/>
  <c r="D87" i="7"/>
  <c r="C87" i="7"/>
  <c r="G86" i="7"/>
  <c r="E86" i="7"/>
  <c r="D86" i="7"/>
  <c r="C86" i="7"/>
  <c r="G85" i="7"/>
  <c r="E85" i="7"/>
  <c r="D85" i="7"/>
  <c r="C85" i="7"/>
  <c r="G84" i="7"/>
  <c r="E84" i="7"/>
  <c r="D84" i="7"/>
  <c r="C84" i="7"/>
  <c r="G83" i="7"/>
  <c r="E83" i="7"/>
  <c r="D83" i="7"/>
  <c r="C83" i="7"/>
  <c r="G82" i="7"/>
  <c r="E82" i="7"/>
  <c r="D82" i="7"/>
  <c r="C82" i="7"/>
  <c r="G81" i="7"/>
  <c r="E81" i="7"/>
  <c r="D81" i="7"/>
  <c r="C81" i="7"/>
  <c r="G80" i="7"/>
  <c r="E80" i="7"/>
  <c r="D80" i="7"/>
  <c r="C80" i="7"/>
  <c r="G79" i="7"/>
  <c r="E79" i="7"/>
  <c r="D79" i="7"/>
  <c r="C79" i="7"/>
  <c r="G78" i="7"/>
  <c r="E78" i="7"/>
  <c r="D78" i="7"/>
  <c r="C78" i="7"/>
  <c r="G77" i="7"/>
  <c r="E77" i="7"/>
  <c r="D77" i="7"/>
  <c r="C77" i="7"/>
  <c r="G76" i="7"/>
  <c r="E76" i="7"/>
  <c r="D76" i="7"/>
  <c r="C76" i="7"/>
  <c r="G75" i="7"/>
  <c r="E75" i="7"/>
  <c r="D75" i="7"/>
  <c r="C75" i="7"/>
  <c r="G74" i="7"/>
  <c r="E74" i="7"/>
  <c r="D74" i="7"/>
  <c r="C74" i="7"/>
  <c r="G73" i="7"/>
  <c r="E73" i="7"/>
  <c r="D73" i="7"/>
  <c r="C73" i="7"/>
  <c r="G72" i="7"/>
  <c r="E72" i="7"/>
  <c r="D72" i="7"/>
  <c r="C72" i="7"/>
  <c r="G71" i="7"/>
  <c r="E71" i="7"/>
  <c r="D71" i="7"/>
  <c r="C71" i="7"/>
  <c r="G70" i="7"/>
  <c r="E70" i="7"/>
  <c r="D70" i="7"/>
  <c r="C70" i="7"/>
  <c r="G69" i="7"/>
  <c r="E69" i="7"/>
  <c r="D69" i="7"/>
  <c r="C69" i="7"/>
  <c r="G68" i="7"/>
  <c r="E68" i="7"/>
  <c r="D68" i="7"/>
  <c r="C68" i="7"/>
  <c r="G67" i="7"/>
  <c r="E67" i="7"/>
  <c r="D67" i="7"/>
  <c r="C67" i="7"/>
  <c r="G66" i="7"/>
  <c r="E66" i="7"/>
  <c r="D66" i="7"/>
  <c r="C66" i="7"/>
  <c r="G65" i="7"/>
  <c r="E65" i="7"/>
  <c r="D65" i="7"/>
  <c r="C65" i="7"/>
  <c r="G64" i="7"/>
  <c r="E64" i="7"/>
  <c r="D64" i="7"/>
  <c r="C64" i="7"/>
  <c r="G63" i="7"/>
  <c r="E63" i="7"/>
  <c r="D63" i="7"/>
  <c r="C63" i="7"/>
  <c r="G62" i="7"/>
  <c r="E62" i="7"/>
  <c r="D62" i="7"/>
  <c r="C62" i="7"/>
  <c r="G61" i="7"/>
  <c r="E61" i="7"/>
  <c r="D61" i="7"/>
  <c r="C61" i="7"/>
  <c r="G60" i="7"/>
  <c r="E60" i="7"/>
  <c r="D60" i="7"/>
  <c r="C60" i="7"/>
  <c r="G59" i="7"/>
  <c r="E59" i="7"/>
  <c r="D59" i="7"/>
  <c r="C59" i="7"/>
  <c r="G58" i="7"/>
  <c r="E58" i="7"/>
  <c r="D58" i="7"/>
  <c r="C58" i="7"/>
  <c r="A58" i="7"/>
  <c r="G57" i="7"/>
  <c r="E57" i="7"/>
  <c r="D57" i="7"/>
  <c r="C57" i="7"/>
  <c r="G56" i="7"/>
  <c r="E56" i="7"/>
  <c r="D56" i="7"/>
  <c r="C56" i="7"/>
  <c r="G55" i="7"/>
  <c r="E55" i="7"/>
  <c r="D55" i="7"/>
  <c r="C55" i="7"/>
  <c r="G54" i="7"/>
  <c r="E54" i="7"/>
  <c r="D54" i="7"/>
  <c r="C54" i="7"/>
  <c r="G53" i="7"/>
  <c r="E53" i="7"/>
  <c r="D53" i="7"/>
  <c r="C53" i="7"/>
  <c r="G52" i="7"/>
  <c r="E52" i="7"/>
  <c r="D52" i="7"/>
  <c r="C52" i="7"/>
  <c r="G51" i="7"/>
  <c r="E51" i="7"/>
  <c r="D51" i="7"/>
  <c r="C51" i="7"/>
  <c r="G50" i="7"/>
  <c r="E50" i="7"/>
  <c r="D50" i="7"/>
  <c r="C50" i="7"/>
  <c r="G49" i="7"/>
  <c r="E49" i="7"/>
  <c r="D49" i="7"/>
  <c r="C49" i="7"/>
  <c r="G48" i="7"/>
  <c r="E48" i="7"/>
  <c r="D48" i="7"/>
  <c r="C48" i="7"/>
  <c r="G47" i="7"/>
  <c r="E47" i="7"/>
  <c r="D47" i="7"/>
  <c r="C47" i="7"/>
  <c r="G46" i="7"/>
  <c r="E46" i="7"/>
  <c r="D46" i="7"/>
  <c r="C46" i="7"/>
  <c r="G45" i="7"/>
  <c r="E45" i="7"/>
  <c r="D45" i="7"/>
  <c r="C45" i="7"/>
  <c r="G44" i="7"/>
  <c r="E44" i="7"/>
  <c r="D44" i="7"/>
  <c r="C44" i="7"/>
  <c r="G43" i="7"/>
  <c r="E43" i="7"/>
  <c r="D43" i="7"/>
  <c r="C43" i="7"/>
  <c r="G42" i="7"/>
  <c r="E42" i="7"/>
  <c r="D42" i="7"/>
  <c r="C42" i="7"/>
  <c r="G41" i="7"/>
  <c r="E41" i="7"/>
  <c r="D41" i="7"/>
  <c r="C41" i="7"/>
  <c r="A41" i="7"/>
  <c r="E40" i="7"/>
  <c r="H40" i="7" s="1"/>
  <c r="A40" i="7"/>
  <c r="E39" i="7"/>
  <c r="H39" i="7" s="1"/>
  <c r="A39" i="7"/>
  <c r="G38" i="7"/>
  <c r="E38" i="7"/>
  <c r="D38" i="7"/>
  <c r="C38" i="7"/>
  <c r="A38" i="7"/>
  <c r="G37" i="7"/>
  <c r="D37" i="7"/>
  <c r="C37" i="7"/>
  <c r="A37" i="7"/>
  <c r="G36" i="7"/>
  <c r="A36" i="7"/>
  <c r="E35" i="7"/>
  <c r="H35" i="7" s="1"/>
  <c r="A35" i="7"/>
  <c r="E34" i="7"/>
  <c r="H34" i="7" s="1"/>
  <c r="A34" i="7"/>
  <c r="G33" i="7"/>
  <c r="E33" i="7"/>
  <c r="D33" i="7"/>
  <c r="C33" i="7"/>
  <c r="G32" i="7"/>
  <c r="E32" i="7"/>
  <c r="D32" i="7"/>
  <c r="C32" i="7"/>
  <c r="G31" i="7"/>
  <c r="E31" i="7"/>
  <c r="D31" i="7"/>
  <c r="C31" i="7"/>
  <c r="G30" i="7"/>
  <c r="E30" i="7"/>
  <c r="D30" i="7"/>
  <c r="C30" i="7"/>
  <c r="G29" i="7"/>
  <c r="E29" i="7"/>
  <c r="D29" i="7"/>
  <c r="C29" i="7"/>
  <c r="G28" i="7"/>
  <c r="E28" i="7"/>
  <c r="D28" i="7"/>
  <c r="C28" i="7"/>
  <c r="G27" i="7"/>
  <c r="E27" i="7"/>
  <c r="D27" i="7"/>
  <c r="C27" i="7"/>
  <c r="G26" i="7"/>
  <c r="E26" i="7"/>
  <c r="E25" i="7"/>
  <c r="H25" i="7" s="1"/>
  <c r="H24" i="7"/>
  <c r="E23" i="7"/>
  <c r="H23" i="7" s="1"/>
  <c r="E22" i="7"/>
  <c r="H22" i="7" s="1"/>
  <c r="A19" i="7"/>
  <c r="G16" i="7"/>
  <c r="A16" i="7"/>
  <c r="G13" i="7"/>
  <c r="G14" i="8" l="1"/>
  <c r="G28" i="8"/>
  <c r="J28" i="8" s="1"/>
  <c r="G27" i="8"/>
  <c r="J27" i="8" s="1"/>
  <c r="G25" i="8"/>
  <c r="J25" i="8" s="1"/>
  <c r="G24" i="8"/>
  <c r="J24" i="8" s="1"/>
  <c r="I22" i="8"/>
  <c r="G43" i="8"/>
  <c r="J43" i="8" s="1"/>
  <c r="G44" i="8"/>
  <c r="J44" i="8" s="1"/>
  <c r="G42" i="8"/>
  <c r="J42" i="8" s="1"/>
  <c r="G40" i="8"/>
  <c r="J40" i="8" s="1"/>
  <c r="G46" i="8"/>
  <c r="G80" i="8"/>
  <c r="J80" i="8" s="1"/>
  <c r="G79" i="8"/>
  <c r="J79" i="8" s="1"/>
  <c r="G77" i="8"/>
  <c r="J77" i="8" s="1"/>
  <c r="G87" i="8"/>
  <c r="J87" i="8" s="1"/>
  <c r="G88" i="8"/>
  <c r="J88" i="8" s="1"/>
  <c r="G86" i="8"/>
  <c r="J86" i="8" s="1"/>
  <c r="G84" i="8"/>
  <c r="J84" i="8" s="1"/>
  <c r="J165" i="8"/>
  <c r="I165" i="8" s="1"/>
  <c r="J174" i="8"/>
  <c r="I174" i="8" s="1"/>
  <c r="J158" i="8"/>
  <c r="I158" i="8" s="1"/>
  <c r="J69" i="8"/>
  <c r="J152" i="8"/>
  <c r="I152" i="8" s="1"/>
  <c r="J119" i="8"/>
  <c r="I119" i="8" s="1"/>
  <c r="G58" i="8"/>
  <c r="J58" i="8" s="1"/>
  <c r="G59" i="8"/>
  <c r="J59" i="8" s="1"/>
  <c r="J35" i="8"/>
  <c r="J100" i="8"/>
  <c r="I100" i="8" s="1"/>
  <c r="J95" i="8"/>
  <c r="I16" i="8"/>
  <c r="G23" i="8"/>
  <c r="J23" i="8" s="1"/>
  <c r="G32" i="8"/>
  <c r="G34" i="8"/>
  <c r="J34" i="8" s="1"/>
  <c r="G36" i="8"/>
  <c r="J36" i="8" s="1"/>
  <c r="J54" i="8"/>
  <c r="G63" i="8"/>
  <c r="J63" i="8" s="1"/>
  <c r="N19" i="8" s="1"/>
  <c r="G65" i="8"/>
  <c r="J65" i="8" s="1"/>
  <c r="G67" i="8"/>
  <c r="J67" i="8" s="1"/>
  <c r="G76" i="8"/>
  <c r="J76" i="8" s="1"/>
  <c r="G78" i="8"/>
  <c r="J78" i="8" s="1"/>
  <c r="G91" i="8"/>
  <c r="J91" i="8" s="1"/>
  <c r="G93" i="8"/>
  <c r="J93" i="8" s="1"/>
  <c r="G95" i="8"/>
  <c r="I95" i="8" s="1"/>
  <c r="G26" i="8"/>
  <c r="G39" i="8"/>
  <c r="J39" i="8" s="1"/>
  <c r="G41" i="8"/>
  <c r="J41" i="8" s="1"/>
  <c r="G83" i="8"/>
  <c r="J83" i="8" s="1"/>
  <c r="G85" i="8"/>
  <c r="J85" i="8" s="1"/>
  <c r="G31" i="8"/>
  <c r="J31" i="8" s="1"/>
  <c r="G33" i="8"/>
  <c r="G62" i="8"/>
  <c r="J62" i="8" s="1"/>
  <c r="G64" i="8"/>
  <c r="J64" i="8" s="1"/>
  <c r="H83" i="7"/>
  <c r="H46" i="7"/>
  <c r="H60" i="7"/>
  <c r="H44" i="7"/>
  <c r="H64" i="7"/>
  <c r="H68" i="7"/>
  <c r="H32" i="7"/>
  <c r="H54" i="7"/>
  <c r="H58" i="7"/>
  <c r="H82" i="7"/>
  <c r="H71" i="7"/>
  <c r="H79" i="7"/>
  <c r="H29" i="7"/>
  <c r="H57" i="7"/>
  <c r="H72" i="7"/>
  <c r="H76" i="7"/>
  <c r="H84" i="7"/>
  <c r="H47" i="7"/>
  <c r="H78" i="7"/>
  <c r="H31" i="7"/>
  <c r="H41" i="7"/>
  <c r="H48" i="7"/>
  <c r="H52" i="7"/>
  <c r="H86" i="7"/>
  <c r="H33" i="7"/>
  <c r="H49" i="7"/>
  <c r="H55" i="7"/>
  <c r="H80" i="7"/>
  <c r="H27" i="7"/>
  <c r="H50" i="7"/>
  <c r="H56" i="7"/>
  <c r="H63" i="7"/>
  <c r="H70" i="7"/>
  <c r="H74" i="7"/>
  <c r="H81" i="7"/>
  <c r="H42" i="7"/>
  <c r="H62" i="7"/>
  <c r="H66" i="7"/>
  <c r="H87" i="7"/>
  <c r="H30" i="7"/>
  <c r="H38" i="7"/>
  <c r="H45" i="7"/>
  <c r="H53" i="7"/>
  <c r="H61" i="7"/>
  <c r="H69" i="7"/>
  <c r="H77" i="7"/>
  <c r="H85" i="7"/>
  <c r="H28" i="7"/>
  <c r="H43" i="7"/>
  <c r="H51" i="7"/>
  <c r="H59" i="7"/>
  <c r="H67" i="7"/>
  <c r="H75" i="7"/>
  <c r="H26" i="7"/>
  <c r="H65" i="7"/>
  <c r="H73" i="7"/>
  <c r="M15" i="8" l="1"/>
  <c r="J14" i="8"/>
  <c r="M14" i="8"/>
  <c r="J90" i="8"/>
  <c r="I90" i="8" s="1"/>
  <c r="J82" i="8"/>
  <c r="I82" i="8" s="1"/>
  <c r="J75" i="8"/>
  <c r="I75" i="8" s="1"/>
  <c r="J202" i="8"/>
  <c r="J38" i="8"/>
  <c r="I38" i="8" s="1"/>
  <c r="J46" i="8"/>
  <c r="I46" i="8" s="1"/>
  <c r="M16" i="8"/>
  <c r="J33" i="8"/>
  <c r="N18" i="8"/>
  <c r="J32" i="8"/>
  <c r="M18" i="8"/>
  <c r="J61" i="8"/>
  <c r="I61" i="8" s="1"/>
  <c r="J26" i="8"/>
  <c r="J22" i="8" s="1"/>
  <c r="M17" i="8"/>
  <c r="M19" i="8"/>
  <c r="N14" i="8" l="1"/>
  <c r="J13" i="8"/>
  <c r="I13" i="8" s="1"/>
  <c r="J30" i="8"/>
  <c r="I30" i="8" s="1"/>
  <c r="K201" i="8" l="1"/>
  <c r="J205" i="8" s="1"/>
  <c r="J206" i="8" s="1"/>
  <c r="J203" i="8"/>
  <c r="C42" i="6"/>
  <c r="D42" i="6"/>
  <c r="E42" i="6"/>
  <c r="G42" i="6"/>
  <c r="C43" i="6"/>
  <c r="D43" i="6"/>
  <c r="E43" i="6"/>
  <c r="G43" i="6"/>
  <c r="C44" i="6"/>
  <c r="D44" i="6"/>
  <c r="E44" i="6"/>
  <c r="G44" i="6"/>
  <c r="H44" i="6" s="1"/>
  <c r="C45" i="6"/>
  <c r="D45" i="6"/>
  <c r="E45" i="6"/>
  <c r="G45" i="6"/>
  <c r="C46" i="6"/>
  <c r="D46" i="6"/>
  <c r="E46" i="6"/>
  <c r="G46" i="6"/>
  <c r="C47" i="6"/>
  <c r="D47" i="6"/>
  <c r="E47" i="6"/>
  <c r="G47" i="6"/>
  <c r="C48" i="6"/>
  <c r="D48" i="6"/>
  <c r="E48" i="6"/>
  <c r="G48" i="6"/>
  <c r="C49" i="6"/>
  <c r="D49" i="6"/>
  <c r="E49" i="6"/>
  <c r="G49" i="6"/>
  <c r="C50" i="6"/>
  <c r="D50" i="6"/>
  <c r="E50" i="6"/>
  <c r="G50" i="6"/>
  <c r="H50" i="6" s="1"/>
  <c r="C51" i="6"/>
  <c r="D51" i="6"/>
  <c r="E51" i="6"/>
  <c r="G51" i="6"/>
  <c r="C52" i="6"/>
  <c r="D52" i="6"/>
  <c r="E52" i="6"/>
  <c r="G52" i="6"/>
  <c r="H52" i="6" s="1"/>
  <c r="C53" i="6"/>
  <c r="D53" i="6"/>
  <c r="E53" i="6"/>
  <c r="G53" i="6"/>
  <c r="C54" i="6"/>
  <c r="D54" i="6"/>
  <c r="E54" i="6"/>
  <c r="G54" i="6"/>
  <c r="C55" i="6"/>
  <c r="D55" i="6"/>
  <c r="E55" i="6"/>
  <c r="G55" i="6"/>
  <c r="C56" i="6"/>
  <c r="D56" i="6"/>
  <c r="E56" i="6"/>
  <c r="G56" i="6"/>
  <c r="C57" i="6"/>
  <c r="D57" i="6"/>
  <c r="E57" i="6"/>
  <c r="G57" i="6"/>
  <c r="G36" i="6"/>
  <c r="A34" i="6"/>
  <c r="E34" i="6"/>
  <c r="H34" i="6" s="1"/>
  <c r="A35" i="6"/>
  <c r="E35" i="6"/>
  <c r="H35" i="6" s="1"/>
  <c r="H24" i="6"/>
  <c r="C59" i="6"/>
  <c r="D59" i="6"/>
  <c r="E59" i="6"/>
  <c r="G59" i="6"/>
  <c r="C60" i="6"/>
  <c r="D60" i="6"/>
  <c r="E60" i="6"/>
  <c r="G60" i="6"/>
  <c r="C61" i="6"/>
  <c r="D61" i="6"/>
  <c r="E61" i="6"/>
  <c r="G61" i="6"/>
  <c r="C62" i="6"/>
  <c r="D62" i="6"/>
  <c r="E62" i="6"/>
  <c r="G62" i="6"/>
  <c r="C63" i="6"/>
  <c r="D63" i="6"/>
  <c r="E63" i="6"/>
  <c r="G63" i="6"/>
  <c r="C64" i="6"/>
  <c r="D64" i="6"/>
  <c r="E64" i="6"/>
  <c r="G64" i="6"/>
  <c r="C65" i="6"/>
  <c r="D65" i="6"/>
  <c r="E65" i="6"/>
  <c r="G65" i="6"/>
  <c r="C66" i="6"/>
  <c r="D66" i="6"/>
  <c r="E66" i="6"/>
  <c r="G66" i="6"/>
  <c r="C67" i="6"/>
  <c r="D67" i="6"/>
  <c r="E67" i="6"/>
  <c r="G67" i="6"/>
  <c r="C68" i="6"/>
  <c r="D68" i="6"/>
  <c r="E68" i="6"/>
  <c r="G68" i="6"/>
  <c r="C69" i="6"/>
  <c r="D69" i="6"/>
  <c r="E69" i="6"/>
  <c r="G69" i="6"/>
  <c r="C70" i="6"/>
  <c r="D70" i="6"/>
  <c r="E70" i="6"/>
  <c r="G70" i="6"/>
  <c r="C71" i="6"/>
  <c r="D71" i="6"/>
  <c r="E71" i="6"/>
  <c r="G71" i="6"/>
  <c r="C72" i="6"/>
  <c r="D72" i="6"/>
  <c r="E72" i="6"/>
  <c r="G72" i="6"/>
  <c r="C73" i="6"/>
  <c r="D73" i="6"/>
  <c r="E73" i="6"/>
  <c r="G73" i="6"/>
  <c r="C74" i="6"/>
  <c r="D74" i="6"/>
  <c r="E74" i="6"/>
  <c r="G74" i="6"/>
  <c r="C75" i="6"/>
  <c r="D75" i="6"/>
  <c r="E75" i="6"/>
  <c r="G75" i="6"/>
  <c r="C76" i="6"/>
  <c r="D76" i="6"/>
  <c r="E76" i="6"/>
  <c r="G76" i="6"/>
  <c r="C77" i="6"/>
  <c r="D77" i="6"/>
  <c r="E77" i="6"/>
  <c r="G77" i="6"/>
  <c r="C78" i="6"/>
  <c r="D78" i="6"/>
  <c r="E78" i="6"/>
  <c r="G78" i="6"/>
  <c r="C79" i="6"/>
  <c r="D79" i="6"/>
  <c r="E79" i="6"/>
  <c r="G79" i="6"/>
  <c r="C80" i="6"/>
  <c r="D80" i="6"/>
  <c r="E80" i="6"/>
  <c r="G80" i="6"/>
  <c r="C81" i="6"/>
  <c r="D81" i="6"/>
  <c r="E81" i="6"/>
  <c r="G81" i="6"/>
  <c r="C82" i="6"/>
  <c r="D82" i="6"/>
  <c r="E82" i="6"/>
  <c r="G82" i="6"/>
  <c r="C83" i="6"/>
  <c r="D83" i="6"/>
  <c r="E83" i="6"/>
  <c r="G83" i="6"/>
  <c r="C84" i="6"/>
  <c r="D84" i="6"/>
  <c r="E84" i="6"/>
  <c r="G84" i="6"/>
  <c r="C85" i="6"/>
  <c r="D85" i="6"/>
  <c r="E85" i="6"/>
  <c r="G85" i="6"/>
  <c r="C86" i="6"/>
  <c r="D86" i="6"/>
  <c r="E86" i="6"/>
  <c r="G86" i="6"/>
  <c r="C87" i="6"/>
  <c r="D87" i="6"/>
  <c r="E87" i="6"/>
  <c r="G87" i="6"/>
  <c r="G58" i="6"/>
  <c r="E58" i="6"/>
  <c r="D58" i="6"/>
  <c r="C58" i="6"/>
  <c r="G38" i="6"/>
  <c r="E38" i="6"/>
  <c r="D38" i="6"/>
  <c r="C38" i="6"/>
  <c r="A38" i="6"/>
  <c r="G37" i="6"/>
  <c r="D37" i="6"/>
  <c r="C37" i="6"/>
  <c r="D28" i="6"/>
  <c r="D29" i="6"/>
  <c r="D30" i="6"/>
  <c r="D31" i="6"/>
  <c r="D32" i="6"/>
  <c r="D27" i="6"/>
  <c r="D33" i="6"/>
  <c r="G33" i="6"/>
  <c r="E33" i="6"/>
  <c r="C33" i="6"/>
  <c r="G32" i="6"/>
  <c r="E32" i="6"/>
  <c r="C32" i="6"/>
  <c r="G31" i="6"/>
  <c r="E31" i="6"/>
  <c r="C31" i="6"/>
  <c r="G30" i="6"/>
  <c r="E30" i="6"/>
  <c r="C30" i="6"/>
  <c r="G29" i="6"/>
  <c r="E29" i="6"/>
  <c r="C29" i="6"/>
  <c r="C28" i="6"/>
  <c r="E28" i="6"/>
  <c r="G28" i="6"/>
  <c r="G27" i="6"/>
  <c r="E27" i="6"/>
  <c r="C27" i="6"/>
  <c r="G89" i="6"/>
  <c r="H89" i="6" s="1"/>
  <c r="G88" i="6"/>
  <c r="H88" i="6" s="1"/>
  <c r="C89" i="6"/>
  <c r="C88" i="6"/>
  <c r="A89" i="6"/>
  <c r="A88" i="6"/>
  <c r="D41" i="6"/>
  <c r="A58" i="6"/>
  <c r="E41" i="6"/>
  <c r="H43" i="6"/>
  <c r="H48" i="6"/>
  <c r="H56" i="6"/>
  <c r="G41" i="6"/>
  <c r="H41" i="6" s="1"/>
  <c r="C41" i="6"/>
  <c r="A41" i="6"/>
  <c r="A40" i="6"/>
  <c r="A39" i="6"/>
  <c r="A37" i="6"/>
  <c r="A36" i="6"/>
  <c r="E25" i="6"/>
  <c r="H25" i="6" s="1"/>
  <c r="G26" i="6"/>
  <c r="E26" i="6"/>
  <c r="E23" i="6"/>
  <c r="H23" i="6" s="1"/>
  <c r="E22" i="6"/>
  <c r="H22" i="6" s="1"/>
  <c r="A19" i="6"/>
  <c r="A16" i="6"/>
  <c r="H26" i="6" l="1"/>
  <c r="H58" i="6"/>
  <c r="H27" i="6"/>
  <c r="H30" i="6"/>
  <c r="H31" i="6"/>
  <c r="H33" i="6"/>
  <c r="H54" i="6"/>
  <c r="H46" i="6"/>
  <c r="H42" i="6"/>
  <c r="H29" i="6"/>
  <c r="H32" i="6"/>
  <c r="H55" i="6"/>
  <c r="H51" i="6"/>
  <c r="H47" i="6"/>
  <c r="H38" i="6"/>
  <c r="H57" i="6"/>
  <c r="H53" i="6"/>
  <c r="H49" i="6"/>
  <c r="H28" i="6"/>
  <c r="H87" i="6"/>
  <c r="H86" i="6"/>
  <c r="H85" i="6"/>
  <c r="H84" i="6"/>
  <c r="H83" i="6"/>
  <c r="H82" i="6"/>
  <c r="H81" i="6"/>
  <c r="H80" i="6"/>
  <c r="H79" i="6"/>
  <c r="H78" i="6"/>
  <c r="H77" i="6"/>
  <c r="H76" i="6"/>
  <c r="H75" i="6"/>
  <c r="H74" i="6"/>
  <c r="H73" i="6"/>
  <c r="H72" i="6"/>
  <c r="H71" i="6"/>
  <c r="H70" i="6"/>
  <c r="H69" i="6"/>
  <c r="H68" i="6"/>
  <c r="H67" i="6"/>
  <c r="H66" i="6"/>
  <c r="H65" i="6"/>
  <c r="H64" i="6"/>
  <c r="H63" i="6"/>
  <c r="H62" i="6"/>
  <c r="H61" i="6"/>
  <c r="H60" i="6"/>
  <c r="H59" i="6"/>
  <c r="G13" i="6"/>
  <c r="G16" i="6"/>
  <c r="G92" i="3"/>
  <c r="G56" i="3"/>
  <c r="J56" i="3" s="1"/>
  <c r="G55" i="3"/>
  <c r="J55" i="3" s="1"/>
  <c r="J57" i="3"/>
  <c r="J142" i="3"/>
  <c r="J140" i="3"/>
  <c r="J139" i="3"/>
  <c r="J136" i="3"/>
  <c r="G116" i="4"/>
  <c r="G124" i="3" s="1"/>
  <c r="J147" i="3"/>
  <c r="F105" i="3"/>
  <c r="G105" i="3"/>
  <c r="H45" i="6" s="1"/>
  <c r="G54" i="3"/>
  <c r="J54" i="3" s="1"/>
  <c r="G53" i="3"/>
  <c r="J53" i="3" s="1"/>
  <c r="J121" i="3"/>
  <c r="G120" i="3"/>
  <c r="C121" i="3"/>
  <c r="J141" i="3"/>
  <c r="H123" i="3"/>
  <c r="H124" i="3"/>
  <c r="H125" i="3"/>
  <c r="H126" i="3"/>
  <c r="H127" i="3"/>
  <c r="H128" i="3"/>
  <c r="H129" i="3"/>
  <c r="H130" i="3"/>
  <c r="H122" i="3"/>
  <c r="G123" i="3"/>
  <c r="G125" i="3"/>
  <c r="G126" i="3"/>
  <c r="G127" i="3"/>
  <c r="G128" i="3"/>
  <c r="G130" i="3"/>
  <c r="G122" i="3"/>
  <c r="F128" i="3"/>
  <c r="F129" i="3"/>
  <c r="F130" i="3"/>
  <c r="J129" i="3"/>
  <c r="C48" i="3"/>
  <c r="C49" i="3" s="1"/>
  <c r="C50" i="3" s="1"/>
  <c r="C51" i="3" s="1"/>
  <c r="A27" i="7" s="1"/>
  <c r="J52" i="3"/>
  <c r="J47" i="3"/>
  <c r="A59" i="6" l="1"/>
  <c r="A59" i="7"/>
  <c r="C122" i="3"/>
  <c r="J120" i="3"/>
  <c r="J128" i="3"/>
  <c r="J130" i="3"/>
  <c r="C52" i="3"/>
  <c r="A27" i="6"/>
  <c r="G46" i="3"/>
  <c r="C53" i="3" l="1"/>
  <c r="A28" i="7"/>
  <c r="A28" i="6"/>
  <c r="C123" i="3"/>
  <c r="A60" i="7"/>
  <c r="A60" i="6"/>
  <c r="G16" i="3"/>
  <c r="G119" i="4"/>
  <c r="G89" i="4"/>
  <c r="G88" i="4"/>
  <c r="G87" i="4"/>
  <c r="G86" i="4"/>
  <c r="G85" i="4"/>
  <c r="G84" i="4"/>
  <c r="G83" i="4"/>
  <c r="G82" i="4"/>
  <c r="G81" i="4"/>
  <c r="G76" i="4"/>
  <c r="G72" i="4"/>
  <c r="G71" i="4"/>
  <c r="G70" i="4"/>
  <c r="G69" i="4"/>
  <c r="G64" i="4"/>
  <c r="G63" i="4"/>
  <c r="G62" i="4"/>
  <c r="G61" i="4"/>
  <c r="G60" i="4"/>
  <c r="G57" i="4"/>
  <c r="G56" i="4"/>
  <c r="G55" i="4"/>
  <c r="C124" i="3" l="1"/>
  <c r="A61" i="7"/>
  <c r="C54" i="3"/>
  <c r="A29" i="7"/>
  <c r="A29" i="6"/>
  <c r="D18" i="4"/>
  <c r="G20" i="4"/>
  <c r="G19" i="4"/>
  <c r="G11" i="4"/>
  <c r="G10" i="4"/>
  <c r="J168" i="3"/>
  <c r="J169" i="3"/>
  <c r="J167" i="3"/>
  <c r="J196" i="3"/>
  <c r="G49" i="4"/>
  <c r="G44" i="4"/>
  <c r="C176" i="3"/>
  <c r="C177" i="3" s="1"/>
  <c r="C178" i="3" s="1"/>
  <c r="C179" i="3" s="1"/>
  <c r="C180" i="3" s="1"/>
  <c r="C181" i="3" s="1"/>
  <c r="C182" i="3" s="1"/>
  <c r="C183" i="3" s="1"/>
  <c r="C184" i="3" s="1"/>
  <c r="C185" i="3" s="1"/>
  <c r="C186" i="3" s="1"/>
  <c r="C187" i="3" s="1"/>
  <c r="C188" i="3" s="1"/>
  <c r="C189" i="3" s="1"/>
  <c r="C190" i="3" s="1"/>
  <c r="C191" i="3" s="1"/>
  <c r="C192" i="3" s="1"/>
  <c r="C193" i="3" s="1"/>
  <c r="J193" i="3"/>
  <c r="J192" i="3"/>
  <c r="J191" i="3"/>
  <c r="J190" i="3"/>
  <c r="J189" i="3"/>
  <c r="J188" i="3"/>
  <c r="J187" i="3"/>
  <c r="J186" i="3"/>
  <c r="J185" i="3"/>
  <c r="J184" i="3"/>
  <c r="J183" i="3"/>
  <c r="J182" i="3"/>
  <c r="J181" i="3"/>
  <c r="J180" i="3"/>
  <c r="J179" i="3"/>
  <c r="J178" i="3"/>
  <c r="J177" i="3"/>
  <c r="J176" i="3"/>
  <c r="J175" i="3"/>
  <c r="C55" i="3" l="1"/>
  <c r="A30" i="7"/>
  <c r="A30" i="6"/>
  <c r="C125" i="3"/>
  <c r="A62" i="7"/>
  <c r="J174" i="3"/>
  <c r="I174" i="3" s="1"/>
  <c r="J137" i="3"/>
  <c r="C126" i="3" l="1"/>
  <c r="A63" i="7"/>
  <c r="C56" i="3"/>
  <c r="A31" i="7"/>
  <c r="A31" i="6"/>
  <c r="A61" i="6"/>
  <c r="J127" i="3"/>
  <c r="J126" i="3"/>
  <c r="J125" i="3"/>
  <c r="J124" i="3"/>
  <c r="J122" i="3"/>
  <c r="J123" i="3"/>
  <c r="C102" i="3"/>
  <c r="C57" i="3" l="1"/>
  <c r="A32" i="7"/>
  <c r="A32" i="6"/>
  <c r="A42" i="7"/>
  <c r="A42" i="6"/>
  <c r="C127" i="3"/>
  <c r="A64" i="7"/>
  <c r="C103" i="3"/>
  <c r="A62" i="6"/>
  <c r="J71" i="3"/>
  <c r="J70" i="3"/>
  <c r="G69" i="3"/>
  <c r="G48" i="4"/>
  <c r="G50" i="4" s="1"/>
  <c r="G111" i="4"/>
  <c r="G110" i="4"/>
  <c r="G112" i="4" s="1"/>
  <c r="G97" i="3" s="1"/>
  <c r="E40" i="6" s="1"/>
  <c r="H40" i="6" s="1"/>
  <c r="G107" i="4"/>
  <c r="G106" i="4"/>
  <c r="G97" i="4"/>
  <c r="G98" i="4"/>
  <c r="G99" i="4"/>
  <c r="G100" i="4"/>
  <c r="G101" i="4"/>
  <c r="G102" i="4"/>
  <c r="G96" i="4"/>
  <c r="G91" i="4"/>
  <c r="G92" i="4"/>
  <c r="G93" i="4"/>
  <c r="G90" i="4"/>
  <c r="G74" i="4"/>
  <c r="G75" i="4"/>
  <c r="G77" i="4"/>
  <c r="G78" i="4"/>
  <c r="G73" i="4"/>
  <c r="G66" i="4"/>
  <c r="G53" i="4"/>
  <c r="G54" i="4"/>
  <c r="G37" i="4"/>
  <c r="G38" i="4"/>
  <c r="G39" i="4"/>
  <c r="G40" i="4"/>
  <c r="G41" i="4"/>
  <c r="G42" i="4"/>
  <c r="G43" i="4"/>
  <c r="G45" i="4"/>
  <c r="G25" i="4"/>
  <c r="G26" i="4"/>
  <c r="G30" i="4"/>
  <c r="G31" i="4"/>
  <c r="G32" i="4"/>
  <c r="G33" i="4"/>
  <c r="G21" i="4"/>
  <c r="G18" i="4"/>
  <c r="G6" i="4"/>
  <c r="G7" i="4"/>
  <c r="G8" i="4"/>
  <c r="G9" i="4"/>
  <c r="G12" i="4"/>
  <c r="G13" i="4"/>
  <c r="G14" i="4"/>
  <c r="G15" i="4"/>
  <c r="G3" i="4"/>
  <c r="G13" i="3" s="1"/>
  <c r="G5" i="4"/>
  <c r="G24" i="4"/>
  <c r="G29" i="4"/>
  <c r="G36" i="4"/>
  <c r="G52" i="4"/>
  <c r="A43" i="7" l="1"/>
  <c r="A43" i="6"/>
  <c r="C128" i="3"/>
  <c r="A65" i="7"/>
  <c r="C58" i="3"/>
  <c r="C59" i="3" s="1"/>
  <c r="A33" i="7"/>
  <c r="A33" i="6"/>
  <c r="A63" i="6"/>
  <c r="C104" i="3"/>
  <c r="G94" i="4"/>
  <c r="G79" i="4"/>
  <c r="G75" i="3" s="1"/>
  <c r="G58" i="4"/>
  <c r="G104" i="4"/>
  <c r="G108" i="4"/>
  <c r="G96" i="3" s="1"/>
  <c r="E39" i="6" s="1"/>
  <c r="H39" i="6" s="1"/>
  <c r="G67" i="4"/>
  <c r="G72" i="3" s="1"/>
  <c r="G22" i="4"/>
  <c r="G19" i="3" s="1"/>
  <c r="G27" i="4"/>
  <c r="G22" i="3" s="1"/>
  <c r="I22" i="3" s="1"/>
  <c r="G46" i="4"/>
  <c r="G38" i="3" s="1"/>
  <c r="G90" i="3"/>
  <c r="G93" i="3" s="1"/>
  <c r="J93" i="3" s="1"/>
  <c r="G61" i="3"/>
  <c r="G34" i="4"/>
  <c r="G30" i="3" s="1"/>
  <c r="G16" i="4"/>
  <c r="G17" i="3" s="1"/>
  <c r="C129" i="3" l="1"/>
  <c r="A66" i="7"/>
  <c r="A44" i="7"/>
  <c r="A44" i="6"/>
  <c r="C105" i="3"/>
  <c r="A64" i="6"/>
  <c r="G82" i="3"/>
  <c r="G86" i="3" s="1"/>
  <c r="J86" i="3" s="1"/>
  <c r="G91" i="3"/>
  <c r="G73" i="3"/>
  <c r="G76" i="3"/>
  <c r="G14" i="3"/>
  <c r="J14" i="3" s="1"/>
  <c r="F16" i="3"/>
  <c r="J17" i="3"/>
  <c r="F19" i="3"/>
  <c r="G20" i="3"/>
  <c r="J20" i="3" s="1"/>
  <c r="G23" i="3"/>
  <c r="E16" i="7" s="1"/>
  <c r="H16" i="7" s="1"/>
  <c r="D24" i="3"/>
  <c r="D25" i="3"/>
  <c r="D26" i="3"/>
  <c r="G34" i="3"/>
  <c r="J34" i="3" s="1"/>
  <c r="G42" i="3"/>
  <c r="J42" i="3" s="1"/>
  <c r="J49" i="3"/>
  <c r="J50" i="3"/>
  <c r="G65" i="3"/>
  <c r="J65" i="3" s="1"/>
  <c r="F72" i="3"/>
  <c r="G79" i="3"/>
  <c r="J79" i="3" s="1"/>
  <c r="J92" i="3"/>
  <c r="J97" i="3"/>
  <c r="J98" i="3"/>
  <c r="J101" i="3"/>
  <c r="J102" i="3"/>
  <c r="J103" i="3"/>
  <c r="J104" i="3"/>
  <c r="J105" i="3"/>
  <c r="J106" i="3"/>
  <c r="J107" i="3"/>
  <c r="J108" i="3"/>
  <c r="J109" i="3"/>
  <c r="J110" i="3"/>
  <c r="J111" i="3"/>
  <c r="J112" i="3"/>
  <c r="J113" i="3"/>
  <c r="J114" i="3"/>
  <c r="J115" i="3"/>
  <c r="J116" i="3"/>
  <c r="J117" i="3"/>
  <c r="J131" i="3"/>
  <c r="J132" i="3"/>
  <c r="J133" i="3"/>
  <c r="J134" i="3"/>
  <c r="J135" i="3"/>
  <c r="J138" i="3"/>
  <c r="J143" i="3"/>
  <c r="J144" i="3"/>
  <c r="J145" i="3"/>
  <c r="J146" i="3"/>
  <c r="J148" i="3"/>
  <c r="J149" i="3"/>
  <c r="J150" i="3"/>
  <c r="J153" i="3"/>
  <c r="J154" i="3"/>
  <c r="J155" i="3"/>
  <c r="J156" i="3"/>
  <c r="J157" i="3"/>
  <c r="J159" i="3"/>
  <c r="J160" i="3"/>
  <c r="J161" i="3"/>
  <c r="J162" i="3"/>
  <c r="J163" i="3"/>
  <c r="J164" i="3"/>
  <c r="J166" i="3"/>
  <c r="J170" i="3"/>
  <c r="J171" i="3"/>
  <c r="J173" i="3"/>
  <c r="J172" i="3" s="1"/>
  <c r="I172" i="3" s="1"/>
  <c r="J199" i="3"/>
  <c r="J91" i="3" l="1"/>
  <c r="E37" i="7"/>
  <c r="H37" i="7" s="1"/>
  <c r="E37" i="6"/>
  <c r="H37" i="6" s="1"/>
  <c r="G15" i="6"/>
  <c r="H15" i="6" s="1"/>
  <c r="N20" i="3"/>
  <c r="G15" i="7" s="1"/>
  <c r="H15" i="7" s="1"/>
  <c r="E36" i="7"/>
  <c r="H36" i="7" s="1"/>
  <c r="J73" i="3"/>
  <c r="E36" i="6"/>
  <c r="H36" i="6" s="1"/>
  <c r="A45" i="7"/>
  <c r="A45" i="6"/>
  <c r="C130" i="3"/>
  <c r="A67" i="7"/>
  <c r="A65" i="6"/>
  <c r="J23" i="3"/>
  <c r="E16" i="6"/>
  <c r="H16" i="6" s="1"/>
  <c r="C106" i="3"/>
  <c r="G83" i="3"/>
  <c r="J119" i="3"/>
  <c r="I119" i="3" s="1"/>
  <c r="J198" i="3"/>
  <c r="I198" i="3" s="1"/>
  <c r="J48" i="3"/>
  <c r="J69" i="3"/>
  <c r="I69" i="3" s="1"/>
  <c r="J152" i="3"/>
  <c r="I152" i="3" s="1"/>
  <c r="J100" i="3"/>
  <c r="I100" i="3" s="1"/>
  <c r="J165" i="3"/>
  <c r="I165" i="3" s="1"/>
  <c r="J158" i="3"/>
  <c r="I158" i="3" s="1"/>
  <c r="G94" i="3"/>
  <c r="J94" i="3" s="1"/>
  <c r="J90" i="3" s="1"/>
  <c r="I90" i="3" s="1"/>
  <c r="G36" i="3"/>
  <c r="G31" i="3"/>
  <c r="E19" i="7" s="1"/>
  <c r="H19" i="7" s="1"/>
  <c r="G35" i="3"/>
  <c r="G87" i="3"/>
  <c r="J87" i="3" s="1"/>
  <c r="G43" i="3"/>
  <c r="J43" i="3" s="1"/>
  <c r="G26" i="3"/>
  <c r="G95" i="3"/>
  <c r="I95" i="3" s="1"/>
  <c r="G41" i="3"/>
  <c r="J41" i="3" s="1"/>
  <c r="G40" i="3"/>
  <c r="G28" i="3"/>
  <c r="G25" i="3"/>
  <c r="G80" i="3"/>
  <c r="J80" i="3" s="1"/>
  <c r="J72" i="3"/>
  <c r="I72" i="3" s="1"/>
  <c r="G44" i="3"/>
  <c r="J44" i="3" s="1"/>
  <c r="G39" i="3"/>
  <c r="J39" i="3" s="1"/>
  <c r="G24" i="3"/>
  <c r="G27" i="3"/>
  <c r="J13" i="3"/>
  <c r="I13" i="3" s="1"/>
  <c r="J16" i="3"/>
  <c r="I16" i="3" s="1"/>
  <c r="J19" i="3"/>
  <c r="I19" i="3" s="1"/>
  <c r="J83" i="3"/>
  <c r="G62" i="3"/>
  <c r="J62" i="3" s="1"/>
  <c r="J96" i="3"/>
  <c r="J95" i="3" s="1"/>
  <c r="G88" i="3"/>
  <c r="J88" i="3" s="1"/>
  <c r="G84" i="3"/>
  <c r="J84" i="3" s="1"/>
  <c r="G77" i="3"/>
  <c r="J77" i="3" s="1"/>
  <c r="G67" i="3"/>
  <c r="J67" i="3" s="1"/>
  <c r="G66" i="3"/>
  <c r="J66" i="3" s="1"/>
  <c r="G63" i="3"/>
  <c r="J63" i="3" s="1"/>
  <c r="G32" i="3"/>
  <c r="J76" i="3"/>
  <c r="G85" i="3"/>
  <c r="J85" i="3" s="1"/>
  <c r="G78" i="3"/>
  <c r="J78" i="3" s="1"/>
  <c r="G64" i="3"/>
  <c r="J64" i="3" s="1"/>
  <c r="G33" i="3"/>
  <c r="J33" i="3" s="1"/>
  <c r="J32" i="3" l="1"/>
  <c r="M15" i="3"/>
  <c r="E17" i="7" s="1"/>
  <c r="H17" i="7" s="1"/>
  <c r="M19" i="3"/>
  <c r="E18" i="7" s="1"/>
  <c r="H18" i="7" s="1"/>
  <c r="C131" i="3"/>
  <c r="A68" i="7"/>
  <c r="A46" i="7"/>
  <c r="A46" i="6"/>
  <c r="M16" i="3"/>
  <c r="E20" i="7" s="1"/>
  <c r="H20" i="7" s="1"/>
  <c r="J28" i="3"/>
  <c r="M17" i="3"/>
  <c r="C107" i="3"/>
  <c r="A66" i="6"/>
  <c r="J40" i="3"/>
  <c r="N19" i="3" s="1"/>
  <c r="E18" i="6"/>
  <c r="H18" i="6" s="1"/>
  <c r="J31" i="3"/>
  <c r="E19" i="6"/>
  <c r="H19" i="6" s="1"/>
  <c r="E17" i="6"/>
  <c r="H17" i="6" s="1"/>
  <c r="J35" i="3"/>
  <c r="J26" i="3"/>
  <c r="J27" i="3"/>
  <c r="J36" i="3"/>
  <c r="J25" i="3"/>
  <c r="J24" i="3"/>
  <c r="J61" i="3"/>
  <c r="I61" i="3" s="1"/>
  <c r="J38" i="3"/>
  <c r="I38" i="3" s="1"/>
  <c r="J82" i="3"/>
  <c r="I82" i="3" s="1"/>
  <c r="E21" i="6" l="1"/>
  <c r="H21" i="6" s="1"/>
  <c r="E21" i="7"/>
  <c r="H21" i="7" s="1"/>
  <c r="C132" i="3"/>
  <c r="A69" i="7"/>
  <c r="J22" i="3"/>
  <c r="J30" i="3"/>
  <c r="I30" i="3" s="1"/>
  <c r="E20" i="6"/>
  <c r="H20" i="6" s="1"/>
  <c r="A47" i="7"/>
  <c r="A47" i="6"/>
  <c r="A67" i="6"/>
  <c r="C108" i="3"/>
  <c r="J75" i="3"/>
  <c r="I75" i="3" s="1"/>
  <c r="A48" i="7" l="1"/>
  <c r="A48" i="6"/>
  <c r="C133" i="3"/>
  <c r="A70" i="7"/>
  <c r="C109" i="3"/>
  <c r="A68" i="6"/>
  <c r="J197" i="3"/>
  <c r="J195" i="3" s="1"/>
  <c r="I195" i="3" s="1"/>
  <c r="J51" i="3"/>
  <c r="G58" i="3"/>
  <c r="M18" i="3" s="1"/>
  <c r="E14" i="7" s="1"/>
  <c r="H14" i="7" s="1"/>
  <c r="C134" i="3" l="1"/>
  <c r="A71" i="7"/>
  <c r="A49" i="7"/>
  <c r="A49" i="6"/>
  <c r="A69" i="6"/>
  <c r="C110" i="3"/>
  <c r="J58" i="3"/>
  <c r="N18" i="3" s="1"/>
  <c r="E14" i="6"/>
  <c r="H14" i="6" s="1"/>
  <c r="G59" i="3"/>
  <c r="M14" i="3" s="1"/>
  <c r="E13" i="7" s="1"/>
  <c r="H13" i="7" s="1"/>
  <c r="H90" i="7" s="1"/>
  <c r="A50" i="7" l="1"/>
  <c r="A50" i="6"/>
  <c r="H209" i="7"/>
  <c r="H91" i="7"/>
  <c r="H210" i="7" s="1"/>
  <c r="C135" i="3"/>
  <c r="A72" i="7"/>
  <c r="C111" i="3"/>
  <c r="A70" i="6"/>
  <c r="J59" i="3"/>
  <c r="E13" i="6"/>
  <c r="H13" i="6" s="1"/>
  <c r="H90" i="6" s="1"/>
  <c r="J46" i="3"/>
  <c r="J201" i="3" s="1"/>
  <c r="A51" i="7" l="1"/>
  <c r="A51" i="6"/>
  <c r="C136" i="3"/>
  <c r="A73" i="7"/>
  <c r="K201" i="3"/>
  <c r="J205" i="3" s="1"/>
  <c r="J206" i="3" s="1"/>
  <c r="A71" i="6"/>
  <c r="C112" i="3"/>
  <c r="J202" i="3"/>
  <c r="J203" i="3" s="1"/>
  <c r="N14" i="3"/>
  <c r="I46" i="3"/>
  <c r="A52" i="7" l="1"/>
  <c r="A52" i="6"/>
  <c r="C137" i="3"/>
  <c r="A74" i="7"/>
  <c r="A72" i="6"/>
  <c r="C113" i="3"/>
  <c r="C138" i="3" l="1"/>
  <c r="A75" i="7"/>
  <c r="A53" i="7"/>
  <c r="A53" i="6"/>
  <c r="C114" i="3"/>
  <c r="A73" i="6"/>
  <c r="A54" i="7" l="1"/>
  <c r="A54" i="6"/>
  <c r="C139" i="3"/>
  <c r="A76" i="7"/>
  <c r="A74" i="6"/>
  <c r="C115" i="3"/>
  <c r="C140" i="3" l="1"/>
  <c r="A77" i="7"/>
  <c r="A55" i="7"/>
  <c r="A55" i="6"/>
  <c r="C116" i="3"/>
  <c r="A75" i="6"/>
  <c r="A56" i="7" l="1"/>
  <c r="A56" i="6"/>
  <c r="C141" i="3"/>
  <c r="A78" i="7"/>
  <c r="A76" i="6"/>
  <c r="C117" i="3"/>
  <c r="C142" i="3" l="1"/>
  <c r="A79" i="7"/>
  <c r="A57" i="7"/>
  <c r="A57" i="6"/>
  <c r="A77" i="6"/>
  <c r="C143" i="3" l="1"/>
  <c r="A80" i="7"/>
  <c r="A78" i="6"/>
  <c r="C144" i="3" l="1"/>
  <c r="A81" i="7"/>
  <c r="A79" i="6"/>
  <c r="C145" i="3" l="1"/>
  <c r="A82" i="7"/>
  <c r="A80" i="6"/>
  <c r="C146" i="3" l="1"/>
  <c r="A83" i="7"/>
  <c r="A81" i="6"/>
  <c r="C147" i="3" l="1"/>
  <c r="A84" i="7"/>
  <c r="A82" i="6"/>
  <c r="C148" i="3" l="1"/>
  <c r="A85" i="7"/>
  <c r="A83" i="6"/>
  <c r="C149" i="3" l="1"/>
  <c r="A86" i="7"/>
  <c r="A84" i="6"/>
  <c r="C150" i="3" l="1"/>
  <c r="A87" i="7"/>
  <c r="A85" i="6"/>
  <c r="A86" i="6" l="1"/>
  <c r="A87" i="6" l="1"/>
</calcChain>
</file>

<file path=xl/sharedStrings.xml><?xml version="1.0" encoding="utf-8"?>
<sst xmlns="http://schemas.openxmlformats.org/spreadsheetml/2006/main" count="1487" uniqueCount="501">
  <si>
    <t>NO</t>
  </si>
  <si>
    <t>ACTIVITY</t>
  </si>
  <si>
    <t>QTY</t>
  </si>
  <si>
    <t>L</t>
  </si>
  <si>
    <t>W</t>
  </si>
  <si>
    <t>H</t>
  </si>
  <si>
    <t>TOTAL</t>
  </si>
  <si>
    <t>UNIT</t>
  </si>
  <si>
    <t>REMARKS</t>
  </si>
  <si>
    <t>SITE PREPARATION</t>
  </si>
  <si>
    <t>Site cleaning of incinerator, clinic area and septic tank</t>
  </si>
  <si>
    <t>m2</t>
  </si>
  <si>
    <t>EXCAVATION</t>
  </si>
  <si>
    <t>Septic tank</t>
  </si>
  <si>
    <t>m3</t>
  </si>
  <si>
    <t>Soack away pit</t>
  </si>
  <si>
    <t>Hand washing station</t>
  </si>
  <si>
    <t>Reservoir foundations</t>
  </si>
  <si>
    <t>Water pipes</t>
  </si>
  <si>
    <t>Building-D water pipes</t>
  </si>
  <si>
    <t>Building-D sewer pipes</t>
  </si>
  <si>
    <t>Latrin foundations</t>
  </si>
  <si>
    <t>Solar foundation</t>
  </si>
  <si>
    <t>Bathrooms</t>
  </si>
  <si>
    <t>Incinerator foundation</t>
  </si>
  <si>
    <t>FILLING AND COMPATION</t>
  </si>
  <si>
    <t>RCC Foundation Reservoir</t>
  </si>
  <si>
    <r>
      <t xml:space="preserve">STONE MASONRY 1:5 </t>
    </r>
    <r>
      <rPr>
        <sz val="12"/>
        <color theme="1"/>
        <rFont val="Arial"/>
        <family val="2"/>
      </rPr>
      <t>MORTAR &amp; HIGH QUALITY STONE</t>
    </r>
  </si>
  <si>
    <t>Bathroom</t>
  </si>
  <si>
    <r>
      <t xml:space="preserve">BRICKS MASONRY1:4 </t>
    </r>
    <r>
      <rPr>
        <sz val="12"/>
        <color theme="1"/>
        <rFont val="Arial"/>
        <family val="2"/>
      </rPr>
      <t>CEMENT HIGH QUALITY BRICKS</t>
    </r>
  </si>
  <si>
    <t>Hand washing</t>
  </si>
  <si>
    <t>RCC reservoir gate valve box</t>
  </si>
  <si>
    <t>Incinerator</t>
  </si>
  <si>
    <r>
      <t xml:space="preserve">PCC M150 </t>
    </r>
    <r>
      <rPr>
        <sz val="12"/>
        <rFont val="Arial"/>
        <family val="2"/>
      </rPr>
      <t>(1:2:4) WITH PROPER CURRING</t>
    </r>
  </si>
  <si>
    <t>Valve box RCC reservoir</t>
  </si>
  <si>
    <t>Building-D floors and corridor pipes</t>
  </si>
  <si>
    <t>Under RCC Reservoir</t>
  </si>
  <si>
    <t>Existing Latrines</t>
  </si>
  <si>
    <t>Backyard corridor</t>
  </si>
  <si>
    <t>Public water Tap</t>
  </si>
  <si>
    <t>MOSAIC</t>
  </si>
  <si>
    <t>Clinic Area</t>
  </si>
  <si>
    <t>Toilet and bathroom roofs</t>
  </si>
  <si>
    <t xml:space="preserve">RCC </t>
  </si>
  <si>
    <t>RCC Reservoir mat foundation</t>
  </si>
  <si>
    <t>RCC Reservoir columns</t>
  </si>
  <si>
    <t>RCC Reservoir beams</t>
  </si>
  <si>
    <t>RCC Reservoir floor slab</t>
  </si>
  <si>
    <t>RCC Reservoir walls</t>
  </si>
  <si>
    <t>RCC Reservoir roof Slab</t>
  </si>
  <si>
    <t>SHUTTERING</t>
  </si>
  <si>
    <t>Soak away pit</t>
  </si>
  <si>
    <t xml:space="preserve">PLASTERING </t>
  </si>
  <si>
    <t>Toilet interior walls</t>
  </si>
  <si>
    <t>Building-D water pipe on walls</t>
  </si>
  <si>
    <t>Building-D sewer pipes on walls</t>
  </si>
  <si>
    <t>PAINTING</t>
  </si>
  <si>
    <t>Oil painting two layer for guard rail and gate doors</t>
  </si>
  <si>
    <t>Latrines exterior walls</t>
  </si>
  <si>
    <t>Latrines interior walls</t>
  </si>
  <si>
    <t>TILE &amp; CERAMIC</t>
  </si>
  <si>
    <t>Bathrooms Floors</t>
  </si>
  <si>
    <t>Bathroom Walls</t>
  </si>
  <si>
    <t>Latrines Floors</t>
  </si>
  <si>
    <t>Latrines Walls</t>
  </si>
  <si>
    <t>Delivery room</t>
  </si>
  <si>
    <t>Reservoir floor ceramic</t>
  </si>
  <si>
    <t>SHC Rooms Floor</t>
  </si>
  <si>
    <t>M2</t>
  </si>
  <si>
    <t>DOORS</t>
  </si>
  <si>
    <t>New Latrines+Bathrooms</t>
  </si>
  <si>
    <t>WINDOWS</t>
  </si>
  <si>
    <t>Delivery Room</t>
  </si>
  <si>
    <t>WATER SUPPLY &amp; PLUMBING</t>
  </si>
  <si>
    <t>PE100, Pressure 10, Ø63mm, Length AB+Well to Reservoir</t>
  </si>
  <si>
    <t>m</t>
  </si>
  <si>
    <t>PE100, Pressure 10, Ø50mm, Length BC+AH</t>
  </si>
  <si>
    <t>PE100, Pressure 10, Ø40mm, Length CD</t>
  </si>
  <si>
    <t>PE100, Pressure 10, Ø32mm, Length BE</t>
  </si>
  <si>
    <t>PPR Pipe Ø32mm, building D</t>
  </si>
  <si>
    <t>PPR Pipe Ø25mm for building D</t>
  </si>
  <si>
    <t>Hand washing sinks with high quality brass lever faucet, mirror and accessories</t>
  </si>
  <si>
    <t>Set</t>
  </si>
  <si>
    <t>High quality brass lever faucets</t>
  </si>
  <si>
    <t>No</t>
  </si>
  <si>
    <t>Electrical water boiler 80 litre, Arabic super Aquahot with all spares</t>
  </si>
  <si>
    <t>Provide&amp;installation 3 layers water tank of 2500 Liters</t>
  </si>
  <si>
    <t>Provide and installation of fittings and accessorries</t>
  </si>
  <si>
    <t>Ls</t>
  </si>
  <si>
    <t>SOLAR POWER</t>
  </si>
  <si>
    <t>Electircal water boiler</t>
  </si>
  <si>
    <t>Solar stand for 10 Panel</t>
  </si>
  <si>
    <t>Grade A solar panel</t>
  </si>
  <si>
    <t>Water pump 0.5" inch Pedrolo 4SR 1.5/25, 1.1Kw, 1.5Hp, 5.9Amp, 17.8 Kgr</t>
  </si>
  <si>
    <t>PROGRAM</t>
  </si>
  <si>
    <t>FCDO-DAWAM</t>
  </si>
  <si>
    <t>PROJECT NAME</t>
  </si>
  <si>
    <t>HEALTH FACILITY CLINIC UPGRADING</t>
  </si>
  <si>
    <t>PROVINCE</t>
  </si>
  <si>
    <t>HERAT</t>
  </si>
  <si>
    <t>DISTRICT</t>
  </si>
  <si>
    <t>GULRAN</t>
  </si>
  <si>
    <t>VILLAGE NAME</t>
  </si>
  <si>
    <t>QARABAGH</t>
  </si>
  <si>
    <t>DISTANCE TO THE CENTER OF DISTRICT</t>
  </si>
  <si>
    <t>CENTER OF QARABAGH</t>
  </si>
  <si>
    <t>CLINICAL CODE</t>
  </si>
  <si>
    <t>DATE BOQ DEVELOPED</t>
  </si>
  <si>
    <t>15/8/2024</t>
  </si>
  <si>
    <t>EXCHANGE RATE OF AFG/USD</t>
  </si>
  <si>
    <t>LOCATION/GPS</t>
  </si>
  <si>
    <t>34.938408 N, 61.775621 E</t>
  </si>
  <si>
    <t>TITLE</t>
  </si>
  <si>
    <t>NO.</t>
  </si>
  <si>
    <t>NORM UNIT</t>
  </si>
  <si>
    <t>A*</t>
  </si>
  <si>
    <t>ITEM/DESCRIPTION</t>
  </si>
  <si>
    <t>QUANTITY</t>
  </si>
  <si>
    <t>UNIT COST</t>
  </si>
  <si>
    <t>TOTAL COST</t>
  </si>
  <si>
    <t>NORM</t>
  </si>
  <si>
    <t>(AFS)</t>
  </si>
  <si>
    <t>(S)</t>
  </si>
  <si>
    <t>A1</t>
  </si>
  <si>
    <r>
      <t>m</t>
    </r>
    <r>
      <rPr>
        <b/>
        <vertAlign val="superscript"/>
        <sz val="10"/>
        <rFont val="Arial"/>
        <family val="2"/>
      </rPr>
      <t>2</t>
    </r>
  </si>
  <si>
    <t>Unskilled Labor on site</t>
  </si>
  <si>
    <t>md</t>
  </si>
  <si>
    <t>Unskilled labor</t>
  </si>
  <si>
    <t>Preparation and cleaning of the whole clinic area and removal of grasses and wastes, preparation of hand tools and equipment</t>
  </si>
  <si>
    <t>Sand</t>
  </si>
  <si>
    <t>A2</t>
  </si>
  <si>
    <r>
      <t>m</t>
    </r>
    <r>
      <rPr>
        <b/>
        <vertAlign val="superscript"/>
        <sz val="10"/>
        <rFont val="Arial"/>
        <family val="2"/>
      </rPr>
      <t>3</t>
    </r>
  </si>
  <si>
    <t>Cement</t>
  </si>
  <si>
    <t>Unskilled Labor</t>
  </si>
  <si>
    <t>Water</t>
  </si>
  <si>
    <t>The land is normal soil, excavation depth isn't ecceded 1 meter, in building D excavation of the pipes network and demolation of pcc in rooms and corridor</t>
  </si>
  <si>
    <t>Skilled Labor</t>
  </si>
  <si>
    <t>A3</t>
  </si>
  <si>
    <t>Gravel</t>
  </si>
  <si>
    <t>Installation Cost</t>
  </si>
  <si>
    <t>This item included filling soft soil of all pipe networks and compaction of soil under the RCC reservoir foundation.</t>
  </si>
  <si>
    <t>A4</t>
  </si>
  <si>
    <r>
      <t xml:space="preserve">STONE MASONRY </t>
    </r>
    <r>
      <rPr>
        <sz val="9"/>
        <rFont val="Arial"/>
        <family val="2"/>
      </rPr>
      <t>1:5 MORTAR &amp; HIGH QUALITY STONE</t>
    </r>
  </si>
  <si>
    <t xml:space="preserve">Stone including transportation to the site </t>
  </si>
  <si>
    <r>
      <t>m</t>
    </r>
    <r>
      <rPr>
        <vertAlign val="superscript"/>
        <sz val="8"/>
        <rFont val="Arial"/>
        <family val="2"/>
      </rPr>
      <t>3</t>
    </r>
  </si>
  <si>
    <t xml:space="preserve">Sand including transportation </t>
  </si>
  <si>
    <t>kg</t>
  </si>
  <si>
    <t>liter</t>
  </si>
  <si>
    <t>Skilled Labor on site</t>
  </si>
  <si>
    <t>Stone should be crushed mountain stone, sand and water is clean, Cement (Qayen) should not be more than 3 months old, the Cement (Qayen) - sand proportion will be considered</t>
  </si>
  <si>
    <t>A5</t>
  </si>
  <si>
    <r>
      <t xml:space="preserve">BRICK MASONRY </t>
    </r>
    <r>
      <rPr>
        <sz val="9"/>
        <rFont val="Arial"/>
        <family val="2"/>
      </rPr>
      <t>1:4 CEMENT, HIGH QUALITY BRICK</t>
    </r>
  </si>
  <si>
    <t>Brick including transportation(Size, 22*11*7cm )</t>
  </si>
  <si>
    <t>pcs</t>
  </si>
  <si>
    <t>Well burnt brick will be used, the bricks sould be wetted troughly before using, the sand and water is clean, the Cement (Qayen) is not older than 3 months, drinking able water should be sued</t>
  </si>
  <si>
    <t>A6</t>
  </si>
  <si>
    <r>
      <t xml:space="preserve">PCC M150 </t>
    </r>
    <r>
      <rPr>
        <sz val="9"/>
        <rFont val="Arial"/>
        <family val="2"/>
      </rPr>
      <t>(1:2:4) WITH PROPER CURRING</t>
    </r>
  </si>
  <si>
    <t xml:space="preserve">Gravel including transportation </t>
  </si>
  <si>
    <t>Under PCC there will be a layer of sand, the Cement (Qayen) is fresh, the sand is washed, the water is clean, the proportion of Cement (Qayen)-sand is considered, at least 10 days curing</t>
  </si>
  <si>
    <t>A7</t>
  </si>
  <si>
    <r>
      <t xml:space="preserve">STEEL WORKING </t>
    </r>
    <r>
      <rPr>
        <sz val="9"/>
        <rFont val="Arial"/>
        <family val="2"/>
      </rPr>
      <t>(RCC Reservoir)</t>
    </r>
  </si>
  <si>
    <t>Steel bar 16 mm</t>
  </si>
  <si>
    <t>Steel bar 14 mm</t>
  </si>
  <si>
    <t>Steel bar 12 mm</t>
  </si>
  <si>
    <t>Steel bar 8 mm</t>
  </si>
  <si>
    <t>Wire 1 mm</t>
  </si>
  <si>
    <t>Steel gate for valvebox door</t>
  </si>
  <si>
    <t>GI pipe diameter 1" for vertical part of stair</t>
  </si>
  <si>
    <t>GI pipe diameter 0.75" for hand rail</t>
  </si>
  <si>
    <t>Iron porfile 4X4 cm</t>
  </si>
  <si>
    <t>Iron porfile 3X3 cm</t>
  </si>
  <si>
    <t>Water stopper for reservoir</t>
  </si>
  <si>
    <t>no</t>
  </si>
  <si>
    <t>The steel should be without rust, having tensile stress of 2400 kg/cm2, and for deformed bars is 2800 kg/cm2</t>
  </si>
  <si>
    <t>A8</t>
  </si>
  <si>
    <r>
      <t xml:space="preserve">RCC M:250 </t>
    </r>
    <r>
      <rPr>
        <sz val="9"/>
        <rFont val="Arial"/>
        <family val="2"/>
      </rPr>
      <t>(1:1:2)</t>
    </r>
  </si>
  <si>
    <t>Gravel including transportation</t>
  </si>
  <si>
    <t>The steel should be without rust, the tensile stress of steel is 2400 kg/cm2, and for deformed bars is 2800 kg/cm2 for the trust reffer to the design and specefication</t>
  </si>
  <si>
    <t>A9</t>
  </si>
  <si>
    <t>RCC RINGS</t>
  </si>
  <si>
    <t>LS</t>
  </si>
  <si>
    <t>RCC Rings (dia 90 cm high 40cm) for soak away pits</t>
  </si>
  <si>
    <t>Ring</t>
  </si>
  <si>
    <t>RCC cover slab for pit (dia 1.2) with ventilation pipe</t>
  </si>
  <si>
    <t>Slab</t>
  </si>
  <si>
    <t>A10</t>
  </si>
  <si>
    <t>RCC reservoir columns, beams and slabs</t>
  </si>
  <si>
    <r>
      <t>m</t>
    </r>
    <r>
      <rPr>
        <vertAlign val="superscript"/>
        <sz val="8"/>
        <color theme="1"/>
        <rFont val="Arial"/>
        <family val="2"/>
      </rPr>
      <t>2</t>
    </r>
  </si>
  <si>
    <t>A11</t>
  </si>
  <si>
    <r>
      <t xml:space="preserve">PLASTERING </t>
    </r>
    <r>
      <rPr>
        <sz val="9"/>
        <rFont val="Arial"/>
        <family val="2"/>
      </rPr>
      <t>(M: 300, 1:4)</t>
    </r>
  </si>
  <si>
    <t>Sand including transportation</t>
  </si>
  <si>
    <t>Cement (M: 300, 1:4)</t>
  </si>
  <si>
    <t>A12</t>
  </si>
  <si>
    <t>TILE, CERAMIC, CORNICE AND MOSAIC</t>
  </si>
  <si>
    <t>Tile, Ceramic, Cornice &amp; Mosaic</t>
  </si>
  <si>
    <r>
      <t>m</t>
    </r>
    <r>
      <rPr>
        <vertAlign val="superscript"/>
        <sz val="8"/>
        <rFont val="Arial"/>
        <family val="2"/>
      </rPr>
      <t>2</t>
    </r>
  </si>
  <si>
    <t>Cement (M300, 1:4)</t>
  </si>
  <si>
    <t xml:space="preserve">Tile, Mosaic, Cornice and ceramic as per market availability best quality. </t>
  </si>
  <si>
    <t>A13</t>
  </si>
  <si>
    <r>
      <t>PAINTING</t>
    </r>
    <r>
      <rPr>
        <sz val="9"/>
        <rFont val="Arial"/>
        <family val="2"/>
      </rPr>
      <t xml:space="preserve"> (EXTERIOR &amp; INTERIOR WALLS) TWO LAYER</t>
    </r>
  </si>
  <si>
    <t>Plastic color for exterior of RCC reservoir, WC1 internal walls and hand wash stations</t>
  </si>
  <si>
    <t>A14</t>
  </si>
  <si>
    <t>UPVC DOORS AND WINDOWS WITH 4mm GLASS</t>
  </si>
  <si>
    <t>UPVC Doors for Toilets (0.7x2.1)</t>
  </si>
  <si>
    <r>
      <t>m</t>
    </r>
    <r>
      <rPr>
        <vertAlign val="superscript"/>
        <sz val="10"/>
        <rFont val="Arial"/>
        <family val="2"/>
      </rPr>
      <t>2</t>
    </r>
  </si>
  <si>
    <t>Window for Toilets (0.5x0.6)m (UPVC made in Turkey)</t>
  </si>
  <si>
    <t>Installation cost</t>
  </si>
  <si>
    <t>Doors and winodwos should be as per thechnical drawings and SoW.</t>
  </si>
  <si>
    <t>A15</t>
  </si>
  <si>
    <t>DH BUILDING &amp;TOILETS FIXTURES EQUIPMENTS</t>
  </si>
  <si>
    <t>2000 Liter vertical water tank (high quality polyethylene 3 layer - made of Jalalabad)</t>
  </si>
  <si>
    <t>500 Litre-horizontanl water tank (high-density polyethylene 5 layer Tanks)</t>
  </si>
  <si>
    <t>Sun Water Boiler 200lit</t>
  </si>
  <si>
    <t>Stand for water tank 500lit stainless steel (Fixed Structure) 2m height</t>
  </si>
  <si>
    <t>set</t>
  </si>
  <si>
    <t>Persian Toilet (size 58x46 cm, material : Ceramic)</t>
  </si>
  <si>
    <t>Western toilet (materials: porcelain/vitreous, ergonomic design, comfort height, elongated bowl, dual flush)</t>
  </si>
  <si>
    <t>Floor Drain</t>
  </si>
  <si>
    <t>Brass Shutoff valve 0.5 inch</t>
  </si>
  <si>
    <t>Paper hunger for all toilets</t>
  </si>
  <si>
    <t>Wash pipe for toilets new toilets</t>
  </si>
  <si>
    <t>Flush tank (Material plastic, white color, dual flush, 6 liters capacity)</t>
  </si>
  <si>
    <t>Brass mix lever taps for Hand Washing Sinks</t>
  </si>
  <si>
    <t>Bath shower with accessories of shower</t>
  </si>
  <si>
    <t>R.O (Reverse osmosis water treatment equipment 50 Litre/hr) Made in Taiwan</t>
  </si>
  <si>
    <t>Trash bins</t>
  </si>
  <si>
    <t>Large Trash Bins</t>
  </si>
  <si>
    <t>All fixture as per market availability with best quality and functionality</t>
  </si>
  <si>
    <t>A16</t>
  </si>
  <si>
    <t>PLUMBING WORKS</t>
  </si>
  <si>
    <t>Hot deeped galvanized steel 2" pipe for RCC reservoir</t>
  </si>
  <si>
    <t>Gate valve stainless steel 2"</t>
  </si>
  <si>
    <t>PE100, Pressure 10, Ø63mm</t>
  </si>
  <si>
    <t>PE100, Pressure 10, Ø50mm</t>
  </si>
  <si>
    <t>PE100, Pressure 10, Ø40mm</t>
  </si>
  <si>
    <t>PE100, Pressure 10, Ø32mm</t>
  </si>
  <si>
    <t>PPR Pipe Ø32mm</t>
  </si>
  <si>
    <t>PPR Pipe Ø25mm</t>
  </si>
  <si>
    <t>PPR Tee size 32mm PN25</t>
  </si>
  <si>
    <t>PPR Tee size 25mm PN25</t>
  </si>
  <si>
    <t>PPR Elbow size 32mm PN25</t>
  </si>
  <si>
    <t>PPR Elbow size 25mm PN25</t>
  </si>
  <si>
    <t>PPR Elbow one side treathed coper size 25mm PN25</t>
  </si>
  <si>
    <t>PVC P-Trip 4" PN 6 - Class B</t>
  </si>
  <si>
    <t>pc</t>
  </si>
  <si>
    <t>PVC Pipe 4" Class B 6bar</t>
  </si>
  <si>
    <t>PVC Pipe 3" Class B 6bar</t>
  </si>
  <si>
    <t>PVC Pipe 2" Class B 6bar</t>
  </si>
  <si>
    <t>PVC Tee 4X3" 45 degree PN 6 - Class B</t>
  </si>
  <si>
    <t>PVC Tee 3X2" 45 degree PN 6 - Class B</t>
  </si>
  <si>
    <t>PVC Tee 4" PN 6 - Class B</t>
  </si>
  <si>
    <t>PVC Elbow 4 inch 90 degree PN 6 - Class B</t>
  </si>
  <si>
    <t>PVC Elbow 2" 45 degree PN 6 - Class B</t>
  </si>
  <si>
    <t>PVC Elbow 4" 45 degree PN 6 - Class B</t>
  </si>
  <si>
    <t>Pipe PE 100,HDPE 16Bar Diameter 63mm</t>
  </si>
  <si>
    <t xml:space="preserve">Glass wool for pipes insulation @ 5cm thickness </t>
  </si>
  <si>
    <t>Burlap for covering reservoir GI pipes</t>
  </si>
  <si>
    <t>PE and PPR pipes should be high standard made in afghanistan. And all risen parts of pipes must be insulated against freezing</t>
  </si>
  <si>
    <t>A17</t>
  </si>
  <si>
    <t>ELECTRICAL WIRE &amp; LED LIGHTING</t>
  </si>
  <si>
    <t>Electrical wire 2.5mm</t>
  </si>
  <si>
    <t>Socket or power outlet for toilets and rooms</t>
  </si>
  <si>
    <t>Power swich for toilets, rooms and corridors</t>
  </si>
  <si>
    <t>LED lamp 10W for rooms and toilets</t>
  </si>
  <si>
    <t>Installation</t>
  </si>
  <si>
    <t>A18</t>
  </si>
  <si>
    <t>FENCES &amp; GI PIPE FOR BOUNDARY OF INCINERATOR AREA</t>
  </si>
  <si>
    <t>Galvanized fence for boundary</t>
  </si>
  <si>
    <t>Lock with 50 cm chain</t>
  </si>
  <si>
    <t>Hot dipped galvanized steel pipe  SCHEDUAL 40 round shape 2 inch for fence</t>
  </si>
  <si>
    <t>(50cmX60cm galvanized iron gate) Iron sheet 3mm  with a proper frame 30x30x2mm iron angle and locking system</t>
  </si>
  <si>
    <t>Irone pipe for chimney of incinerator 4"</t>
  </si>
  <si>
    <t>A19</t>
  </si>
  <si>
    <t>TOILET &amp; BATHROOM &amp; DH ROOMS ROOFS</t>
  </si>
  <si>
    <t>T-shape steel 2 kg/m</t>
  </si>
  <si>
    <t>Parachute fabric (high quality</t>
  </si>
  <si>
    <t>edge strip wood minimum dimensions (3cm wide 200cm Length)</t>
  </si>
  <si>
    <t>ml</t>
  </si>
  <si>
    <t>Nails (6cm length)</t>
  </si>
  <si>
    <t>Roof isolation by Isogam</t>
  </si>
  <si>
    <t>Construction and installation cost</t>
  </si>
  <si>
    <t>A20</t>
  </si>
  <si>
    <t xml:space="preserve">EVACUATION AND CLEANING OF EXISTING SEPTIC TANK </t>
  </si>
  <si>
    <t>Evacuation and cleaning of existing septic tank with 35 cubic meter volume size</t>
  </si>
  <si>
    <t>A21</t>
  </si>
  <si>
    <t>SOLAR POWER AND WATER SUPPLY NETWORK</t>
  </si>
  <si>
    <t>SOLAR PANEL ( PROPSOLAR 270W Poly crystalline 37.9V 9.22A)</t>
  </si>
  <si>
    <t>PEDROLLO 4SR1.5/17 1HP 0.75Kw 220V</t>
  </si>
  <si>
    <t>INVERTER (FRECON IP65 1.5kw 220V)</t>
  </si>
  <si>
    <t>STAND FOR PV-PANELS(Fixed Structure)</t>
  </si>
  <si>
    <t>Motor Cable (4*4mm2)</t>
  </si>
  <si>
    <t>Solar Cable(2*6mm2)</t>
  </si>
  <si>
    <t>Pipe (PE1/2 Inch/16mm (PE100, PN16)</t>
  </si>
  <si>
    <t>Float switch (Mechanical)</t>
  </si>
  <si>
    <t>PV Disconnect switch(IP54)</t>
  </si>
  <si>
    <t>PV Combiner box(IP20 )</t>
  </si>
  <si>
    <t>Box</t>
  </si>
  <si>
    <t>Inverter box (IP20 )</t>
  </si>
  <si>
    <t>Grounding rod (copper)</t>
  </si>
  <si>
    <t>Pump hanging rope (plastic) doubled rop</t>
  </si>
  <si>
    <t>Cable splice kit (IP68)</t>
  </si>
  <si>
    <t>Well probe sensors(Electronic)</t>
  </si>
  <si>
    <t>Earthing Cable(1*16mm2)</t>
  </si>
  <si>
    <t>Pump fitings(Poly Ethylene)</t>
  </si>
  <si>
    <t>Cable 2*1.5 mm2 (For sensors)</t>
  </si>
  <si>
    <t xml:space="preserve">Installation cost of system </t>
  </si>
  <si>
    <t>All the materials are in accordance to Dorakhshan solar company prices.</t>
  </si>
  <si>
    <t>A22</t>
  </si>
  <si>
    <t>MATERIAL TRANSPORTATION ON SITE AND MISCELLANEOUS</t>
  </si>
  <si>
    <t>Total transportaion of material to the village</t>
  </si>
  <si>
    <t>Miscellaneous vages (5%) of total project</t>
  </si>
  <si>
    <t>A23</t>
  </si>
  <si>
    <t>SITE CLEANING</t>
  </si>
  <si>
    <t>Site Cleaning</t>
  </si>
  <si>
    <t>GRAND TOTAL (A1+A2+A3+A5+A6+A7+A8+A10+A11+A12+A13+A15+A16+A22+A23)</t>
  </si>
  <si>
    <t xml:space="preserve">Labore cost </t>
  </si>
  <si>
    <t xml:space="preserve">Materials </t>
  </si>
  <si>
    <t>Materials/ Work/ Service Request Form</t>
  </si>
  <si>
    <t>MRF</t>
  </si>
  <si>
    <t>WRF</t>
  </si>
  <si>
    <t>SRF</t>
  </si>
  <si>
    <t>MRF No:</t>
  </si>
  <si>
    <t>a</t>
  </si>
  <si>
    <t>Office Location:</t>
  </si>
  <si>
    <t>HERAT PROVINCE</t>
  </si>
  <si>
    <t>DEPARTMENT CC</t>
  </si>
  <si>
    <t>PROGRAMME</t>
  </si>
  <si>
    <t>Date Item Requested</t>
  </si>
  <si>
    <t>Date Item Need</t>
  </si>
  <si>
    <t>Urgency Level: Please mention bellow the date by which the required materials to be delivered. Also please consider adequate time while you request for the materials.</t>
  </si>
  <si>
    <t>Item Description</t>
  </si>
  <si>
    <t>Unit</t>
  </si>
  <si>
    <t>Quantity</t>
  </si>
  <si>
    <t>Monthly</t>
  </si>
  <si>
    <t>Unit Price</t>
  </si>
  <si>
    <t>Total Price</t>
  </si>
  <si>
    <t>Budget Line</t>
  </si>
  <si>
    <t>Remarks</t>
  </si>
  <si>
    <t>A/C Code</t>
  </si>
  <si>
    <t>T1</t>
  </si>
  <si>
    <t>T2</t>
  </si>
  <si>
    <t>T3</t>
  </si>
  <si>
    <t>T4</t>
  </si>
  <si>
    <t>T5</t>
  </si>
  <si>
    <t>T6</t>
  </si>
  <si>
    <t>(Where Applicable)</t>
  </si>
  <si>
    <t>Cost Center</t>
  </si>
  <si>
    <t xml:space="preserve">Funding Source </t>
  </si>
  <si>
    <t xml:space="preserve">Project </t>
  </si>
  <si>
    <t>Activity</t>
  </si>
  <si>
    <t>Donner Budget Line</t>
  </si>
  <si>
    <t>Miscellanous</t>
  </si>
  <si>
    <t>+</t>
  </si>
  <si>
    <t>Unskilled labor for (site preparation, excavation and demolition on hard surfaces, stone masonry work, PCC work, RCC work, steel working, plastering, tile and ceramic  works,site cleaning after completion of construction, back filling ...)</t>
  </si>
  <si>
    <t>Skilled labor for( Site preparation, Excavation and Demolition on Hard surfaces, Stone Masonry work, PCC work, RCC work, Steel working, plastering, Tile and ceramic  works,...)</t>
  </si>
  <si>
    <t>Installation cost of All systems (UPVC door and window, SHC building, Electrical Wire and LED lighting, Toilets fixtures equipment and toilets roof, water supply system, solar system, Plumbing works inside and outside of Buildings and toilets,   fences and GI pipe for boundary of incinerator area ...)</t>
  </si>
  <si>
    <t xml:space="preserve">Stone (specification as per SOW) including transportation to site of the project </t>
  </si>
  <si>
    <t xml:space="preserve">Sand (specification as per SOW) including transportation to site of the project </t>
  </si>
  <si>
    <t xml:space="preserve">Gravel (specification as per SOW) including transportation to site of the project </t>
  </si>
  <si>
    <t>Brick high quality(Size, 22*11*7cm ) (specification as per SOW)</t>
  </si>
  <si>
    <t>Cement high quality</t>
  </si>
  <si>
    <t>Drinkable water for RCC, PCC</t>
  </si>
  <si>
    <t>Lit</t>
  </si>
  <si>
    <t xml:space="preserve">Tile (specification as per SOW) </t>
  </si>
  <si>
    <t xml:space="preserve">Ceramic (specification as per SOW) </t>
  </si>
  <si>
    <t xml:space="preserve">Cornice with hight of 15cm (specification as per SOW) </t>
  </si>
  <si>
    <t xml:space="preserve">Mosaic (size 30x30cm) for covering of toilet &amp; bathroom roofs and SHC Area (specification as per SOW) </t>
  </si>
  <si>
    <t>Mild steel - grade 60 - ultimate tensile stress N/mm2 min410, ys N/mm2-250, dia 10mm</t>
  </si>
  <si>
    <t xml:space="preserve">RCC Rings (dia 90 cm high 40cm) for Septict drain water pit,including installation on site </t>
  </si>
  <si>
    <t xml:space="preserve">RCC covering Slab for Pit (dia 1.2) with ventilation pipe including installtion on site </t>
  </si>
  <si>
    <t xml:space="preserve">Shuttering of Incinerator slab and beams, Septic Tank </t>
  </si>
  <si>
    <t>Door for mix bath &amp; toilet in delivery room (UPVC made in Turkey) size (1x210cm)</t>
  </si>
  <si>
    <t>Window for latrines (UPVC made in Turkey)  with 4mm glass used size (50x60cm)</t>
  </si>
  <si>
    <t>TOTAL OF  QARABAGH  DH</t>
  </si>
  <si>
    <t>Requested By:</t>
  </si>
  <si>
    <t>Checked by:</t>
  </si>
  <si>
    <t>Authorized by:</t>
  </si>
  <si>
    <t>Department:</t>
  </si>
  <si>
    <t>Position:</t>
  </si>
  <si>
    <t>Date:</t>
  </si>
  <si>
    <t>Signature</t>
  </si>
  <si>
    <t>TOTAL OF GULRAN DH (AFN)</t>
  </si>
  <si>
    <t>TOTAL OF GULRAN DH (USD)</t>
  </si>
  <si>
    <t xml:space="preserve"> Installation cost of All systems (UPVC door and window, SHC building, Electrical Wire and LED lighting, Toilets fixtures equipment and toilets roof, water supply system, solar system, Plumbing works inside and outside of Buildings and toilets,   fences and GI pipe for boundary of incinerator area ...)</t>
  </si>
  <si>
    <t xml:space="preserve">stone (specification as per SOW)  including transportation to site of the project </t>
  </si>
  <si>
    <t xml:space="preserve">Sand (specification as per SOW)  including transportation to site of the project </t>
  </si>
  <si>
    <t xml:space="preserve">Gravel (specification as per SOW)  including transportation to site of the project </t>
  </si>
  <si>
    <t xml:space="preserve">Drinkbale water for RCC, PCC and other works of project </t>
  </si>
  <si>
    <t>liters</t>
  </si>
  <si>
    <t xml:space="preserve">tile (specification as per SOW) </t>
  </si>
  <si>
    <t xml:space="preserve">ceramic  (specification as per SOW) </t>
  </si>
  <si>
    <t xml:space="preserve">cornice  with hight of 15cm (specification as per SOW) </t>
  </si>
  <si>
    <t xml:space="preserve">Mosaic (size 30x30cm) for covering of toilet and bath roof (specification as per SOW) </t>
  </si>
  <si>
    <t>Mild Steel -Grade 60 - Ultimate Tensile Stress N/mm2minimum-410,  Yield Stress N/mm2-250, dia 14mm  (Khan steel made in Afghanistan)</t>
  </si>
  <si>
    <t>Mild Steel -Grade 60 - Ultimate Tensile Stress N/mm2minimum-410,  Yield Stress N/mm2-250, dia 12mm  (Khan steel made in Afghanistan)</t>
  </si>
  <si>
    <t>Mild Steel -Grade 60 - Ultimate Tensile Stress N/mm2minimum-410,  Yield Stress N/mm2-250, dia 10mm  (Khan steel made in Afghanistan)</t>
  </si>
  <si>
    <t xml:space="preserve">Wire 1 mm سیم جستی یک ملی </t>
  </si>
  <si>
    <t>door for mix bath &amp;toilet in delivery room (UPVC made in Turkey) size (1x210cm)</t>
  </si>
  <si>
    <t>Shuttering for septic tank</t>
  </si>
  <si>
    <t>window for latrines (UPVC made in Turkey)  with 4mm glass used size (50x60cm)</t>
  </si>
  <si>
    <t>rings</t>
  </si>
  <si>
    <t>slab</t>
  </si>
  <si>
    <t>Two layer Plastic Painting of Exterior and Interior walls of (mix toilet &amp; bath  for delivery room)and back of tap station as clinic building out side color</t>
  </si>
  <si>
    <t>3000 litre-Vertical water reservoir (high-density polyethylene 5 layer Tanks)(Afghan Sanitary and Plumbing Co,  or equivalent quality)</t>
  </si>
  <si>
    <t>2000 litre-horizontanl water tank (high-density polyethylene 5 layer Tanks)(Afghan Sanitary and Plumbing Co,  or equivalent quality)</t>
  </si>
  <si>
    <t>Sun Water Boiler 200lit Toloy company or similar quality</t>
  </si>
  <si>
    <t>Stand for water tank 1000 liter(Fixed Structure, stainless steel) height of 200 cm</t>
  </si>
  <si>
    <t>Hand Washing Sink with stand (Ceramic Wash Basin,  Sink Style
Single Bowl,Solid Surface Freestanding Hand Wash Basin )(Afghan Sanitary and Plumbing Co,  or equivalent quality)</t>
  </si>
  <si>
    <t>Waste pipe with accessories of hand washing  sinks(Afghan Sanitary and Plumbing Co,  or equivalent quality)</t>
  </si>
  <si>
    <t>western toilet (stand toilet) (materials: porcelain/vitreous china, ergonomic design, comfort height, elongated bowl, dual flush (1.28 GPF or less), WaterSense certified, quiet flush, easy-to-clean, soft-close seat, medium size) (Afghan Sanitary and Plumbing Co,  or equivalent quality)</t>
  </si>
  <si>
    <t>Floor Drain(Afghan Sanitary and Plumbing Co,  or equivalent quality)</t>
  </si>
  <si>
    <t>Brass Shutoff valve 0.5 inch (Afghan Sanitary and Plumbing Co,  or equivalent quality)</t>
  </si>
  <si>
    <t>metallich Paper hunger(Afghan Sanitary and Plumbing Co,  or equivalent quality)</t>
  </si>
  <si>
    <t>Brass Angle Cock with brass mulsim shower setr(Afghan Sanitary and Plumbing Co,  or equivalent quality)</t>
  </si>
  <si>
    <t>Brass lever taps 0.5 inch high quality</t>
  </si>
  <si>
    <t>Brass Mixing Valve for Hand Washing Sinks(Afghan Sanitary and Plumbing Co,  or equivalent quality)</t>
  </si>
  <si>
    <t>Bath shower with accessories of shower(Afghan Sanitary and Plumbing Co,  or equivalent quality)</t>
  </si>
  <si>
    <t>Mixing valve for  head shower with accessories(stand head pipe…)(Afghan Sanitary and Plumbing Co,  or equivalent quality)</t>
  </si>
  <si>
    <t>Shelf for soap(Afghan Sanitary and Plumbing Co,  or equivalent quality)</t>
  </si>
  <si>
    <t>Mirror with Shelves(Afghan Sanitary and Plumbing Co,  or equivalent quality)</t>
  </si>
  <si>
    <t>small trash Bins high quality plastic 50cm High(Afghan Sanitary and Plumbing Co,  or equivalent quality)</t>
  </si>
  <si>
    <t>Large Trash Bin(Glad 64 Gallon Trash Can with a step-on foot pedal for hands-free operation(Afghan Sanitary and Plumbing Co,  or equivalent quality)</t>
  </si>
  <si>
    <t>Hot Dipped Galvanized Steel Pipe ـSCHEDUAL-40  _Round Shape_ IS 4711_1 inch</t>
  </si>
  <si>
    <t>SOCKET-hot-dipped galvanized_0.5inch</t>
  </si>
  <si>
    <t>ELBOW_90 DEGREE-hot-dipped galvanized-INSIDE SCREW_ 1inch</t>
  </si>
  <si>
    <t>Conver to GI 1 inch iron to PPR 32mm _Female  adapter -PN10PE100</t>
  </si>
  <si>
    <t xml:space="preserve"> Taps push button (High qulaity 100 %Brass )  (1 inch)</t>
  </si>
  <si>
    <t>PLASTIC TAPE (NAWAR TEFLOON)</t>
  </si>
  <si>
    <t>bundle</t>
  </si>
  <si>
    <t>PE100, Pn16 pipes, Dia 1" inch - Well to Reservoir</t>
  </si>
  <si>
    <t>PVC Pipe Size 4" PN 6 - Class B(Afghan Sanitary and Plumbing Co,  or equivalent quality)</t>
  </si>
  <si>
    <t>PVC Pipe Size 3" PN 6 - Class B(Afghan Sanitary and Plumbing Co,  or equivalent quality)</t>
  </si>
  <si>
    <t>PVC Pipe size 2" PN 6 - Calss B(Afghan Sanitary and Plumbing Co,  or equivalent quality)</t>
  </si>
  <si>
    <t>PPR Pipe size 32mm PN 25(Afghan Sanitary and Plumbing Co,  or equivalent quality)</t>
  </si>
  <si>
    <t>PPR Pipe size 25mm PN 25(Afghan Sanitary and Plumbing Co,  or equivalent quality)</t>
  </si>
  <si>
    <t>PPR Tee size 32mm PN25(Afghan Sanitary and Plumbing Co,  or equivalent quality)</t>
  </si>
  <si>
    <t>PPR Tee size 25mm PN25(Afghan Sanitary and Plumbing Co,  or equivalent quality)</t>
  </si>
  <si>
    <t>PPR Elbow size 32mm PN25(Afghan Sanitary and Plumbing Co,  or equivalent quality)</t>
  </si>
  <si>
    <t>PPR Elbow size 25mm PN25(Afghan Sanitary and Plumbing Co,  or equivalent quality)</t>
  </si>
  <si>
    <t>PPR Elbow one side treathed coper size 20mm PN25(Afghan Sanitary and Plumbing Co,  or equivalent quality)</t>
  </si>
  <si>
    <t>PVC P-trip 4" PN 6 - Class B(Afghan Sanitary and Plumbing Co,  or equivalent quality)</t>
  </si>
  <si>
    <t xml:space="preserve"> PVC P-trip 3" PN 6 - Class B(Afghan Sanitary and Plumbing Co,  or equivalent quality)</t>
  </si>
  <si>
    <t>PVC Tee 4" PN 6 - Class B(Afghan Sanitary and Plumbing Co,  or equivalent quality)</t>
  </si>
  <si>
    <t xml:space="preserve"> PVC Tee 4x3" PN 6 - Class B(Afghan Sanitary and Plumbing Co,  or equivalent quality)</t>
  </si>
  <si>
    <t>PVC Elbow 4inch 90 degree PN 6 - Class B(Afghan Sanitary and Plumbing Co,  or equivalent quality)</t>
  </si>
  <si>
    <t>PVC Elbow 3" 45 degree PN 6 - Class B(Afghan Sanitary and Plumbing Co,  or equivalent quality)</t>
  </si>
  <si>
    <t>PVC Elbow 4" 45 degree PN 6 - Class B(Afghan Sanitary and Plumbing Co,  or equivalent quality)</t>
  </si>
  <si>
    <t xml:space="preserve">Glass wool for water tank and pipe  insulations @5cm thickhness </t>
  </si>
  <si>
    <t xml:space="preserve">Plastic sheet 3mm for covering glass wool </t>
  </si>
  <si>
    <t>PVC pipe  dia 6'' (class D) bar 12(Afghan Sanitary and Plumbing Co,  or equivalent quality)</t>
  </si>
  <si>
    <t>PVC filter pipe  dia 6" (class D) bar 12(Afghan Sanitary and Plumbing Co,  or equivalent quality)</t>
  </si>
  <si>
    <t>Glue for pipes connection(Afghan Sanitary and Plumbing Co,  or equivalent quality)</t>
  </si>
  <si>
    <t>Screw for PVC pipe and filter connection(Afghan Sanitary and Plumbing Co,  or equivalent quality)</t>
  </si>
  <si>
    <t>box</t>
  </si>
  <si>
    <t xml:space="preserve">Gravel(size 3 - 6 mm) for gravel pack of bore well washed </t>
  </si>
  <si>
    <t>Soil (clay) for filling around PVC pipe over the gravel pack</t>
  </si>
  <si>
    <t>Hot-dipped galvanized GI Coupling 0.5"(Afghan Sanitary and Plumbing Co,  or equivalent quality)</t>
  </si>
  <si>
    <t>Hot-dipped galvanized GI nipple 0.5"(Afghan Sanitary and Plumbing Co,  or equivalent quality)</t>
  </si>
  <si>
    <t>Hot-dipped galvanized GI Elbow 0.5"(Afghan Sanitary and Plumbing Co,  or equivalent quality)</t>
  </si>
  <si>
    <t>Hot Dipped Galvanized Steel Pipe ـSCHEDUAL-40 GI Pipe 0.5"</t>
  </si>
  <si>
    <t>Stainless steel NR Valve 0.5"(Afghan Sanitary and Plumbing Co,  or equivalent quality)</t>
  </si>
  <si>
    <t>PE 16mm-STRAIGHT JOINTER (COUPLING )(Afghan Sanitary and Plumbing Co,  or equivalent quality)</t>
  </si>
  <si>
    <t>Solar panal( PROPSOLAR 270W Poly crystalline 37.9V 9.22A)(as per AWM Solar Water Pumping System Planner PDF file)</t>
  </si>
  <si>
    <t>panels</t>
  </si>
  <si>
    <t>Electric submersible pump(PEDROLLO 4SR1.5/17 1.5HP 1.1Kw 220V(as per AWM Solar Water Pumping System Planner PDF file)</t>
  </si>
  <si>
    <t>Inverter (FRECON IP 65 1.5KW 220V) (as per AWM Solar Water Pumping System Planner PDF file)</t>
  </si>
  <si>
    <t>STAND FOR PV-PANELS(Fixed Structure)(as per AWM Solar Water Pumping System Planner PDF file)</t>
  </si>
  <si>
    <t>Motor Cable(4*2.5mm2)(as per AWM Solar Water Pumping System Planner PDF file)</t>
  </si>
  <si>
    <t>Solar Cable(2*6mm2)(as per AWM Solar Water Pumping System Planner PDF file)</t>
  </si>
  <si>
    <t>Pipe (PE0.5 Inch/16mm (PE100, PN16)(as per AWM Solar Water Pumping System Planner PDF file)</t>
  </si>
  <si>
    <t>Float switch (Mechanical)(as per AWM Solar Water Pumping System Planner PDF file)</t>
  </si>
  <si>
    <t>PV disconnect switch(IP54)(as per AWM Solar Water Pumping System Planner PDF file)</t>
  </si>
  <si>
    <t>Inverter box (IP20 )(as per AWM Solar Water Pumping System Planner PDF file)</t>
  </si>
  <si>
    <t>flexible conduct pipe (as per AWM Solar Water Pumping System Planner PDF file)</t>
  </si>
  <si>
    <t>Grounding rod (copper)(as per AWM Solar Water Pumping System Planner PDF file)</t>
  </si>
  <si>
    <t>Safety rope (plastic)(as per AWM Solar Water Pumping System Planner PDF file)</t>
  </si>
  <si>
    <t>Cable splice kit (IP68)(as per AWM Solar Water Pumping System Planner PDF file)</t>
  </si>
  <si>
    <t>Well probe sensors(Electronic)(as per AWM Solar Water Pumping System Planner PDF file)</t>
  </si>
  <si>
    <t>Earthing Cable(1*16mm2)(as per AWM Solar Water Pumping System Planner PDF file)</t>
  </si>
  <si>
    <t>Pump fitings(Poly ethylene)(as per AWM Solar Water Pumping System Planner PDF file)</t>
  </si>
  <si>
    <t>Cable 2*1.5mm2(For sensors)(as per AWM Solar Water Pumping System Planner PDF file)</t>
  </si>
  <si>
    <t>Electrical Wire 2.5 mm (Rana Power Solutions,  or equivalent quality)</t>
  </si>
  <si>
    <t>Socket or power  outlet for W/C (Rana Power Solutions,  or equivalent quality)</t>
  </si>
  <si>
    <t>power swich for W/C (Rana Power Solutions,  or equivalent quality)</t>
  </si>
  <si>
    <t>BATTERY 12V/150AH- Battery Capacity over 9Ah (Rana Power Solutions,  or equivalent quality)</t>
  </si>
  <si>
    <t>High quality lamp for W/C (Rana Power Solutions,  or equivalent quality)</t>
  </si>
  <si>
    <t>charge controller (12V, 20A)  (Rana Power Solutions,  or equivalent quality)</t>
  </si>
  <si>
    <t xml:space="preserve">Fencing with Hight of one meter best quality (Fence with mesh (5x5) cm with diameter 2.7mm)  </t>
  </si>
  <si>
    <t xml:space="preserve">high quality Lock with 50 cm chain </t>
  </si>
  <si>
    <t>Hot Dipped Galvanized Steel Pipe ـSCHEDUAL-40  _Round Shape_ 2 inch for fence</t>
  </si>
  <si>
    <t>Railing Stainless steel  for the toilets stair and ramp with high-quality material and installation on-site (Handrail, round shap dia 2inch)</t>
  </si>
  <si>
    <t xml:space="preserve">no </t>
  </si>
  <si>
    <t>T-shape steel-2Kg/M with two layer iron anty rust color</t>
  </si>
  <si>
    <t>Isogam( insulation mat -with Aluminum coat,thickness: 4mm, width: 1m and every roll length 10 m)(Sharq Isoqam)</t>
  </si>
  <si>
    <t>desulaging (Evacuation and cleaning of existing septic tank with 35 cubic meter volume size</t>
  </si>
  <si>
    <t>Total transportaion of material on site</t>
  </si>
  <si>
    <t>miscellaneous (3%) total of project</t>
  </si>
  <si>
    <t>TOTAL OF KHUGIANI BHC (AFN)</t>
  </si>
  <si>
    <t>TOTAL OF KHUGIANI BHC (USD)</t>
  </si>
  <si>
    <t>GRAND TOTAL OF GULRAN DH AND KHUGIANI BHC (AFG)</t>
  </si>
  <si>
    <t>GRAND TOTAL OF GULRAN DH AND KHUGIANI BHC (USD)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</si>
</sst>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1" formatCode="_(* #,##0_);_(* \(#,##0\);_(* &quot;-&quot;_);_(@_)"/>
    <numFmt numFmtId="44" formatCode="_(&quot;$&quot;* #,##0.00_);_(&quot;$&quot;* \(#,##0.00\);_(&quot;$&quot;* &quot;-&quot;??_);_(@_)"/>
    <numFmt numFmtId="43" formatCode="_(* #,##0.00_);_(* \(#,##0.00\);_(* &quot;-&quot;??_);_(@_)"/>
    <numFmt numFmtId="164" formatCode="mm/dd/yyyy;@"/>
    <numFmt numFmtId="165" formatCode="_-* #,##0.00_-;_-* #,##0.00\-;_-* &quot;-&quot;??_-;_-@_-"/>
    <numFmt numFmtId="166" formatCode="0.000"/>
    <numFmt numFmtId="167" formatCode="0.00;[Red]0.00"/>
    <numFmt numFmtId="168" formatCode="#,##0.00;[Red]#,##0.00"/>
    <numFmt numFmtId="169" formatCode="_(* #,##0.0_);_(* \(#,##0.0\);_(* &quot;-&quot;??_);_(@_)"/>
    <numFmt numFmtId="170" formatCode="_(* #,##0_);_(* \(#,##0\);_(* &quot;-&quot;??_);_(@_)"/>
    <numFmt numFmtId="171" formatCode="[$-409]mmmm\ d\,\ yyyy;@"/>
    <numFmt numFmtId="172" formatCode="_(* #,##0.000_);_(* \(#,##0.000\);_(* &quot;-&quot;??_);_(@_)"/>
    <numFmt numFmtId="173" formatCode="_([$AFA]\ * #,##0.00_);_([$AFA]\ * \(#,##0.00\);_([$AFA]\ * &quot;-&quot;??_);_(@_)"/>
  </numFmts>
  <fonts count="39">
    <font>
      <sz val="11"/>
      <color theme="1"/>
      <name val="Aptos Narrow"/>
      <family val="2"/>
      <scheme val="minor"/>
    </font>
    <font>
      <sz val="11"/>
      <color theme="1"/>
      <name val="Aptos Narrow"/>
      <family val="2"/>
      <scheme val="minor"/>
    </font>
    <font>
      <b/>
      <sz val="11"/>
      <color theme="1"/>
      <name val="Aptos Narrow"/>
      <family val="2"/>
      <scheme val="minor"/>
    </font>
    <font>
      <sz val="8"/>
      <color theme="1"/>
      <name val="Arial"/>
      <family val="2"/>
    </font>
    <font>
      <b/>
      <sz val="14"/>
      <color theme="1"/>
      <name val="Aptos Narrow"/>
      <family val="2"/>
      <scheme val="minor"/>
    </font>
    <font>
      <sz val="8"/>
      <name val="Aptos Narrow"/>
      <family val="2"/>
      <scheme val="minor"/>
    </font>
    <font>
      <sz val="8"/>
      <name val="Arial"/>
      <family val="2"/>
    </font>
    <font>
      <sz val="11"/>
      <color rgb="FF000000"/>
      <name val="Calibri"/>
      <family val="2"/>
    </font>
    <font>
      <b/>
      <sz val="11"/>
      <color rgb="FF000000"/>
      <name val="Aptos Narrow"/>
      <family val="2"/>
      <scheme val="minor"/>
    </font>
    <font>
      <sz val="11"/>
      <color rgb="FF000000"/>
      <name val="Aptos Narrow"/>
      <family val="2"/>
      <scheme val="minor"/>
    </font>
    <font>
      <sz val="10"/>
      <name val="Arial"/>
      <family val="2"/>
    </font>
    <font>
      <b/>
      <sz val="10"/>
      <color theme="1"/>
      <name val="Arial"/>
      <family val="2"/>
    </font>
    <font>
      <sz val="11"/>
      <color theme="1"/>
      <name val="Arial"/>
      <family val="2"/>
    </font>
    <font>
      <sz val="11"/>
      <name val="Arial"/>
      <family val="2"/>
    </font>
    <font>
      <sz val="12"/>
      <color theme="1"/>
      <name val="Arial"/>
      <family val="2"/>
    </font>
    <font>
      <sz val="12"/>
      <name val="Arial"/>
      <family val="2"/>
    </font>
    <font>
      <b/>
      <sz val="12"/>
      <color theme="1"/>
      <name val="Arial"/>
      <family val="2"/>
    </font>
    <font>
      <b/>
      <sz val="12"/>
      <color theme="1"/>
      <name val="Aptos Narrow"/>
      <family val="2"/>
      <scheme val="minor"/>
    </font>
    <font>
      <b/>
      <sz val="12"/>
      <name val="Arial"/>
      <family val="2"/>
    </font>
    <font>
      <sz val="12"/>
      <color theme="1"/>
      <name val="Aptos Narrow"/>
      <family val="2"/>
      <scheme val="minor"/>
    </font>
    <font>
      <b/>
      <sz val="8"/>
      <name val="Arial"/>
      <family val="2"/>
    </font>
    <font>
      <sz val="10"/>
      <color theme="1"/>
      <name val="Aptos Narrow"/>
      <family val="2"/>
      <scheme val="minor"/>
    </font>
    <font>
      <b/>
      <sz val="10"/>
      <name val="Arial"/>
      <family val="2"/>
    </font>
    <font>
      <b/>
      <vertAlign val="superscript"/>
      <sz val="10"/>
      <name val="Arial"/>
      <family val="2"/>
    </font>
    <font>
      <vertAlign val="superscript"/>
      <sz val="8"/>
      <name val="Arial"/>
      <family val="2"/>
    </font>
    <font>
      <vertAlign val="superscript"/>
      <sz val="8"/>
      <color theme="1"/>
      <name val="Arial"/>
      <family val="2"/>
    </font>
    <font>
      <b/>
      <sz val="14"/>
      <name val="Arial"/>
      <family val="2"/>
    </font>
    <font>
      <sz val="16"/>
      <name val="Arial"/>
      <family val="2"/>
    </font>
    <font>
      <sz val="16"/>
      <color theme="1"/>
      <name val="Arial"/>
      <family val="2"/>
    </font>
    <font>
      <b/>
      <sz val="12"/>
      <name val="Aptos Narrow"/>
      <family val="2"/>
      <scheme val="minor"/>
    </font>
    <font>
      <sz val="12"/>
      <name val="Aptos Narrow"/>
      <family val="2"/>
      <scheme val="minor"/>
    </font>
    <font>
      <vertAlign val="superscript"/>
      <sz val="10"/>
      <name val="Arial"/>
      <family val="2"/>
    </font>
    <font>
      <sz val="9"/>
      <name val="Arial"/>
      <family val="2"/>
    </font>
    <font>
      <b/>
      <sz val="9"/>
      <name val="Arial"/>
      <family val="2"/>
    </font>
    <font>
      <b/>
      <sz val="14"/>
      <color theme="1"/>
      <name val="Arial"/>
      <family val="2"/>
    </font>
    <font>
      <sz val="22"/>
      <color theme="1"/>
      <name val="Arial"/>
      <family val="2"/>
    </font>
    <font>
      <b/>
      <sz val="16"/>
      <color theme="1"/>
      <name val="Arial"/>
      <family val="2"/>
    </font>
    <font>
      <sz val="12"/>
      <color theme="1"/>
      <name val="Webdings"/>
      <family val="1"/>
      <charset val="2"/>
    </font>
    <font>
      <b/>
      <sz val="10"/>
      <color theme="1"/>
      <name val="Aptos Narrow"/>
      <family val="2"/>
      <scheme val="minor"/>
    </font>
  </fonts>
  <fills count="8">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FFC000"/>
        <bgColor indexed="64"/>
      </patternFill>
    </fill>
    <fill>
      <patternFill patternType="solid">
        <fgColor theme="0" tint="-0.14999847407452621"/>
        <bgColor indexed="64"/>
      </patternFill>
    </fill>
    <fill>
      <patternFill patternType="solid">
        <fgColor theme="2"/>
        <bgColor indexed="64"/>
      </patternFill>
    </fill>
    <fill>
      <patternFill patternType="solid">
        <fgColor theme="0" tint="-4.9989318521683403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s>
  <cellStyleXfs count="8">
    <xf numFmtId="0" fontId="0" fillId="0" borderId="0"/>
    <xf numFmtId="43" fontId="1" fillId="0" borderId="0" applyFont="0" applyFill="0" applyBorder="0" applyAlignment="0" applyProtection="0"/>
    <xf numFmtId="44" fontId="1" fillId="0" borderId="0" applyFont="0" applyFill="0" applyBorder="0" applyAlignment="0" applyProtection="0"/>
    <xf numFmtId="0" fontId="7" fillId="0" borderId="0"/>
    <xf numFmtId="0" fontId="10" fillId="0" borderId="0"/>
    <xf numFmtId="0" fontId="10" fillId="0" borderId="0"/>
    <xf numFmtId="0" fontId="1" fillId="0" borderId="0"/>
    <xf numFmtId="0" fontId="1" fillId="0" borderId="0"/>
  </cellStyleXfs>
  <cellXfs count="292">
    <xf numFmtId="0" fontId="0" fillId="0" borderId="0" xfId="0"/>
    <xf numFmtId="0" fontId="0" fillId="0" borderId="0" xfId="0" applyAlignment="1">
      <alignment horizontal="center" vertical="center"/>
    </xf>
    <xf numFmtId="0" fontId="9" fillId="0" borderId="0" xfId="3" applyFont="1" applyAlignment="1">
      <alignment vertical="center"/>
    </xf>
    <xf numFmtId="0" fontId="9" fillId="0" borderId="0" xfId="3" applyFont="1" applyAlignment="1">
      <alignment horizontal="center" vertical="center"/>
    </xf>
    <xf numFmtId="0" fontId="9" fillId="0" borderId="0" xfId="3" applyFont="1" applyAlignment="1">
      <alignment vertical="center" wrapText="1"/>
    </xf>
    <xf numFmtId="0" fontId="9" fillId="0" borderId="0" xfId="3" applyFont="1" applyAlignment="1">
      <alignment horizontal="center" vertical="center" wrapText="1"/>
    </xf>
    <xf numFmtId="0" fontId="9" fillId="0" borderId="0" xfId="3" applyFont="1" applyAlignment="1">
      <alignment horizontal="left" vertical="center"/>
    </xf>
    <xf numFmtId="0" fontId="3" fillId="0" borderId="1" xfId="0" applyFont="1" applyBorder="1" applyAlignment="1">
      <alignment horizontal="center" vertical="center"/>
    </xf>
    <xf numFmtId="0" fontId="6" fillId="0" borderId="1" xfId="0" applyFont="1" applyBorder="1" applyAlignment="1">
      <alignment vertical="center" wrapText="1"/>
    </xf>
    <xf numFmtId="0" fontId="15" fillId="0" borderId="1" xfId="0" applyFont="1" applyBorder="1" applyAlignment="1">
      <alignment vertical="center" wrapText="1"/>
    </xf>
    <xf numFmtId="43" fontId="15" fillId="0" borderId="1" xfId="1" applyFont="1" applyBorder="1" applyAlignment="1">
      <alignment horizontal="center" vertical="center"/>
    </xf>
    <xf numFmtId="2" fontId="17" fillId="0" borderId="0" xfId="0" applyNumberFormat="1" applyFont="1" applyAlignment="1">
      <alignment horizontal="center" vertical="center"/>
    </xf>
    <xf numFmtId="43" fontId="17" fillId="0" borderId="0" xfId="0" applyNumberFormat="1" applyFont="1" applyAlignment="1">
      <alignment horizontal="center" vertical="center"/>
    </xf>
    <xf numFmtId="43" fontId="0" fillId="0" borderId="0" xfId="0" applyNumberFormat="1" applyAlignment="1">
      <alignment horizontal="center" vertical="center"/>
    </xf>
    <xf numFmtId="43" fontId="2" fillId="0" borderId="0" xfId="0" applyNumberFormat="1" applyFont="1" applyAlignment="1">
      <alignment horizontal="center" vertical="center"/>
    </xf>
    <xf numFmtId="0" fontId="12" fillId="0" borderId="0" xfId="0" applyFont="1" applyAlignment="1">
      <alignment horizontal="center" vertical="center"/>
    </xf>
    <xf numFmtId="0" fontId="21" fillId="0" borderId="0" xfId="0" applyFont="1"/>
    <xf numFmtId="43" fontId="6" fillId="0" borderId="1" xfId="0" applyNumberFormat="1" applyFont="1" applyBorder="1" applyAlignment="1">
      <alignment horizontal="center" vertical="center"/>
    </xf>
    <xf numFmtId="0" fontId="6" fillId="0" borderId="1" xfId="0" applyFont="1" applyBorder="1" applyAlignment="1">
      <alignment horizontal="center" vertical="center"/>
    </xf>
    <xf numFmtId="166" fontId="6" fillId="0" borderId="1" xfId="0" applyNumberFormat="1" applyFont="1" applyBorder="1"/>
    <xf numFmtId="43" fontId="6" fillId="0" borderId="1" xfId="0" applyNumberFormat="1" applyFont="1" applyBorder="1"/>
    <xf numFmtId="0" fontId="6" fillId="0" borderId="1" xfId="0" applyFont="1" applyBorder="1"/>
    <xf numFmtId="0" fontId="0" fillId="0" borderId="0" xfId="0" applyAlignment="1">
      <alignment horizontal="center"/>
    </xf>
    <xf numFmtId="0" fontId="0" fillId="0" borderId="1" xfId="0" applyBorder="1" applyAlignment="1">
      <alignment horizontal="center"/>
    </xf>
    <xf numFmtId="0" fontId="6" fillId="0" borderId="1" xfId="4" applyFont="1" applyBorder="1"/>
    <xf numFmtId="1" fontId="6" fillId="0" borderId="1" xfId="0" applyNumberFormat="1" applyFont="1" applyBorder="1" applyAlignment="1">
      <alignment horizontal="center" vertical="center"/>
    </xf>
    <xf numFmtId="2" fontId="6" fillId="0" borderId="1" xfId="0" applyNumberFormat="1" applyFont="1" applyBorder="1" applyAlignment="1">
      <alignment horizontal="center" vertical="center"/>
    </xf>
    <xf numFmtId="0" fontId="10" fillId="0" borderId="1" xfId="4" applyBorder="1"/>
    <xf numFmtId="2" fontId="6" fillId="0" borderId="1" xfId="0" applyNumberFormat="1" applyFont="1" applyBorder="1"/>
    <xf numFmtId="166" fontId="6" fillId="0" borderId="1" xfId="0" applyNumberFormat="1" applyFont="1" applyBorder="1" applyAlignment="1">
      <alignment horizontal="center" vertical="center"/>
    </xf>
    <xf numFmtId="43" fontId="6" fillId="0" borderId="1" xfId="1" applyFont="1" applyFill="1" applyBorder="1" applyAlignment="1">
      <alignment horizontal="center" vertical="center"/>
    </xf>
    <xf numFmtId="41" fontId="6" fillId="0" borderId="1" xfId="0" applyNumberFormat="1" applyFont="1" applyBorder="1" applyAlignment="1">
      <alignment horizontal="center" vertical="center"/>
    </xf>
    <xf numFmtId="166" fontId="6" fillId="0" borderId="1" xfId="0" applyNumberFormat="1" applyFont="1" applyBorder="1" applyAlignment="1">
      <alignment horizontal="center"/>
    </xf>
    <xf numFmtId="0" fontId="6" fillId="0" borderId="1" xfId="0" applyFont="1" applyBorder="1" applyAlignment="1">
      <alignment horizontal="center"/>
    </xf>
    <xf numFmtId="43" fontId="6" fillId="0" borderId="1" xfId="0" applyNumberFormat="1" applyFont="1" applyBorder="1" applyAlignment="1">
      <alignment horizontal="center"/>
    </xf>
    <xf numFmtId="0" fontId="0" fillId="0" borderId="0" xfId="0" applyAlignment="1">
      <alignment vertical="center"/>
    </xf>
    <xf numFmtId="0" fontId="0" fillId="0" borderId="0" xfId="0" applyAlignment="1">
      <alignment vertical="center" wrapText="1"/>
    </xf>
    <xf numFmtId="43" fontId="0" fillId="0" borderId="0" xfId="0" applyNumberFormat="1" applyAlignment="1">
      <alignment vertical="center" wrapText="1"/>
    </xf>
    <xf numFmtId="2" fontId="17" fillId="0" borderId="0" xfId="1" applyNumberFormat="1" applyFont="1" applyAlignment="1">
      <alignment horizontal="left" vertical="center" wrapText="1"/>
    </xf>
    <xf numFmtId="0" fontId="19" fillId="0" borderId="1" xfId="0" applyFont="1" applyBorder="1" applyAlignment="1">
      <alignment horizontal="center" vertical="center"/>
    </xf>
    <xf numFmtId="0" fontId="15" fillId="0" borderId="1" xfId="0" applyFont="1" applyBorder="1"/>
    <xf numFmtId="0" fontId="18" fillId="0" borderId="1" xfId="0" applyFont="1" applyBorder="1" applyAlignment="1">
      <alignment horizontal="center" vertical="center"/>
    </xf>
    <xf numFmtId="0" fontId="16" fillId="0" borderId="1" xfId="0" applyFont="1" applyBorder="1" applyAlignment="1">
      <alignment horizontal="center" vertical="center"/>
    </xf>
    <xf numFmtId="0" fontId="15" fillId="2" borderId="1" xfId="0" applyFont="1" applyFill="1" applyBorder="1" applyAlignment="1">
      <alignment horizontal="center" vertical="center"/>
    </xf>
    <xf numFmtId="0" fontId="15" fillId="0" borderId="1" xfId="0" applyFont="1" applyBorder="1" applyAlignment="1">
      <alignment horizontal="center" vertical="center"/>
    </xf>
    <xf numFmtId="0" fontId="19" fillId="2" borderId="1" xfId="0" applyFont="1" applyFill="1" applyBorder="1" applyAlignment="1">
      <alignment horizontal="center" vertical="center"/>
    </xf>
    <xf numFmtId="2" fontId="28" fillId="3" borderId="1" xfId="0" applyNumberFormat="1" applyFont="1" applyFill="1" applyBorder="1" applyAlignment="1">
      <alignment vertical="center"/>
    </xf>
    <xf numFmtId="1" fontId="15" fillId="0" borderId="1" xfId="0" applyNumberFormat="1" applyFont="1" applyBorder="1" applyAlignment="1">
      <alignment horizontal="center" vertical="center"/>
    </xf>
    <xf numFmtId="0" fontId="15" fillId="0" borderId="1" xfId="0" applyFont="1" applyBorder="1" applyAlignment="1">
      <alignment vertical="center"/>
    </xf>
    <xf numFmtId="2" fontId="17" fillId="0" borderId="1" xfId="0" applyNumberFormat="1" applyFont="1" applyBorder="1" applyAlignment="1">
      <alignment vertical="center"/>
    </xf>
    <xf numFmtId="0" fontId="14" fillId="0" borderId="1" xfId="0" applyFont="1" applyBorder="1" applyAlignment="1">
      <alignment vertical="center" wrapText="1"/>
    </xf>
    <xf numFmtId="0" fontId="15" fillId="0" borderId="1" xfId="0" applyFont="1" applyBorder="1" applyAlignment="1">
      <alignment wrapText="1"/>
    </xf>
    <xf numFmtId="0" fontId="17" fillId="0" borderId="1" xfId="0" applyFont="1" applyBorder="1" applyAlignment="1">
      <alignment horizontal="center" vertical="center"/>
    </xf>
    <xf numFmtId="0" fontId="26" fillId="4" borderId="1" xfId="0" applyFont="1" applyFill="1" applyBorder="1" applyAlignment="1">
      <alignment horizontal="center" vertical="center" wrapText="1"/>
    </xf>
    <xf numFmtId="0" fontId="27" fillId="3" borderId="1" xfId="0" applyFont="1" applyFill="1" applyBorder="1" applyAlignment="1">
      <alignment vertical="center"/>
    </xf>
    <xf numFmtId="0" fontId="18" fillId="4" borderId="1" xfId="0" applyFont="1" applyFill="1" applyBorder="1" applyAlignment="1">
      <alignment horizontal="center" vertical="center" wrapText="1"/>
    </xf>
    <xf numFmtId="164" fontId="9" fillId="0" borderId="0" xfId="3" applyNumberFormat="1" applyFont="1" applyAlignment="1">
      <alignment horizontal="left" vertical="center"/>
    </xf>
    <xf numFmtId="1" fontId="29" fillId="3" borderId="1" xfId="0" applyNumberFormat="1" applyFont="1" applyFill="1" applyBorder="1" applyAlignment="1">
      <alignment horizontal="center" vertical="center"/>
    </xf>
    <xf numFmtId="1" fontId="29" fillId="0" borderId="1" xfId="0" applyNumberFormat="1" applyFont="1" applyBorder="1" applyAlignment="1">
      <alignment horizontal="center" vertical="center"/>
    </xf>
    <xf numFmtId="1" fontId="30" fillId="0" borderId="1" xfId="0" applyNumberFormat="1" applyFont="1" applyBorder="1" applyAlignment="1">
      <alignment horizontal="center" vertical="center" wrapText="1"/>
    </xf>
    <xf numFmtId="1" fontId="29" fillId="0" borderId="1" xfId="0" applyNumberFormat="1" applyFont="1" applyBorder="1" applyAlignment="1">
      <alignment horizontal="center" vertical="center" wrapText="1"/>
    </xf>
    <xf numFmtId="1" fontId="29" fillId="0" borderId="0" xfId="0" applyNumberFormat="1" applyFont="1" applyAlignment="1">
      <alignment horizontal="center" vertical="center"/>
    </xf>
    <xf numFmtId="0" fontId="29" fillId="0" borderId="0" xfId="0" applyFont="1" applyAlignment="1">
      <alignment horizontal="center" vertical="center"/>
    </xf>
    <xf numFmtId="0" fontId="21" fillId="0" borderId="0" xfId="0" applyFont="1" applyAlignment="1">
      <alignment vertical="center"/>
    </xf>
    <xf numFmtId="169" fontId="6" fillId="0" borderId="1" xfId="1" applyNumberFormat="1" applyFont="1" applyFill="1" applyBorder="1" applyAlignment="1">
      <alignment vertical="center"/>
    </xf>
    <xf numFmtId="0" fontId="6" fillId="0" borderId="1" xfId="0" applyFont="1" applyBorder="1" applyAlignment="1">
      <alignment vertical="center"/>
    </xf>
    <xf numFmtId="0" fontId="20" fillId="0" borderId="1" xfId="0" applyFont="1" applyBorder="1" applyAlignment="1">
      <alignment vertical="center"/>
    </xf>
    <xf numFmtId="43" fontId="6" fillId="0" borderId="1" xfId="0" applyNumberFormat="1" applyFont="1" applyBorder="1" applyAlignment="1">
      <alignment vertical="center"/>
    </xf>
    <xf numFmtId="43" fontId="6" fillId="0" borderId="1" xfId="1" applyFont="1" applyBorder="1" applyAlignment="1">
      <alignment horizontal="center" vertical="center"/>
    </xf>
    <xf numFmtId="167" fontId="6" fillId="0" borderId="1" xfId="4" applyNumberFormat="1" applyFont="1" applyBorder="1" applyAlignment="1">
      <alignment horizontal="center" vertical="center"/>
    </xf>
    <xf numFmtId="0" fontId="6" fillId="0" borderId="1" xfId="0" applyFont="1" applyBorder="1" applyAlignment="1">
      <alignment horizontal="left" vertical="center" wrapText="1"/>
    </xf>
    <xf numFmtId="0" fontId="22" fillId="4" borderId="1" xfId="0" applyFont="1" applyFill="1" applyBorder="1" applyAlignment="1">
      <alignment vertical="center"/>
    </xf>
    <xf numFmtId="166" fontId="22" fillId="4" borderId="1" xfId="0" applyNumberFormat="1" applyFont="1" applyFill="1" applyBorder="1" applyAlignment="1">
      <alignment horizontal="center"/>
    </xf>
    <xf numFmtId="0" fontId="22" fillId="4" borderId="1" xfId="0" applyFont="1" applyFill="1" applyBorder="1" applyAlignment="1">
      <alignment horizontal="center"/>
    </xf>
    <xf numFmtId="169" fontId="22" fillId="4" borderId="1" xfId="1" applyNumberFormat="1" applyFont="1" applyFill="1" applyBorder="1" applyAlignment="1">
      <alignment horizontal="left" vertical="center" wrapText="1"/>
    </xf>
    <xf numFmtId="43" fontId="11" fillId="4" borderId="1" xfId="1" applyFont="1" applyFill="1" applyBorder="1" applyAlignment="1">
      <alignment horizontal="center" vertical="center"/>
    </xf>
    <xf numFmtId="0" fontId="22" fillId="4" borderId="1" xfId="0" applyFont="1" applyFill="1" applyBorder="1" applyAlignment="1">
      <alignment horizontal="center" vertical="center"/>
    </xf>
    <xf numFmtId="43" fontId="22" fillId="4" borderId="1" xfId="1" applyFont="1" applyFill="1" applyBorder="1" applyAlignment="1">
      <alignment horizontal="center" vertical="center"/>
    </xf>
    <xf numFmtId="43" fontId="22" fillId="4" borderId="1" xfId="0" applyNumberFormat="1" applyFont="1" applyFill="1" applyBorder="1" applyAlignment="1">
      <alignment horizontal="center" vertical="center"/>
    </xf>
    <xf numFmtId="169" fontId="20" fillId="0" borderId="1" xfId="1" applyNumberFormat="1" applyFont="1" applyFill="1" applyBorder="1" applyAlignment="1">
      <alignment vertical="center"/>
    </xf>
    <xf numFmtId="166" fontId="6" fillId="0" borderId="1" xfId="1" applyNumberFormat="1" applyFont="1" applyFill="1" applyBorder="1" applyAlignment="1">
      <alignment horizontal="center"/>
    </xf>
    <xf numFmtId="169" fontId="6" fillId="0" borderId="1" xfId="1" applyNumberFormat="1" applyFont="1" applyFill="1" applyBorder="1"/>
    <xf numFmtId="169" fontId="6" fillId="0" borderId="1" xfId="1" applyNumberFormat="1" applyFont="1" applyFill="1" applyBorder="1" applyAlignment="1">
      <alignment vertical="center" wrapText="1"/>
    </xf>
    <xf numFmtId="0" fontId="22" fillId="4" borderId="1" xfId="0" applyFont="1" applyFill="1" applyBorder="1"/>
    <xf numFmtId="169" fontId="22" fillId="4" borderId="1" xfId="1" applyNumberFormat="1" applyFont="1" applyFill="1" applyBorder="1" applyAlignment="1">
      <alignment vertical="center" wrapText="1"/>
    </xf>
    <xf numFmtId="166" fontId="6" fillId="0" borderId="1" xfId="0" applyNumberFormat="1" applyFont="1" applyBorder="1" applyAlignment="1">
      <alignment vertical="center"/>
    </xf>
    <xf numFmtId="166" fontId="10" fillId="4" borderId="1" xfId="1" applyNumberFormat="1" applyFont="1" applyFill="1" applyBorder="1" applyAlignment="1">
      <alignment horizontal="center"/>
    </xf>
    <xf numFmtId="169" fontId="10" fillId="4" borderId="1" xfId="1" applyNumberFormat="1" applyFont="1" applyFill="1" applyBorder="1"/>
    <xf numFmtId="2" fontId="11" fillId="4" borderId="1" xfId="0" applyNumberFormat="1" applyFont="1" applyFill="1" applyBorder="1" applyAlignment="1">
      <alignment horizontal="center" vertical="center"/>
    </xf>
    <xf numFmtId="0" fontId="18" fillId="2" borderId="1" xfId="0" applyFont="1" applyFill="1" applyBorder="1"/>
    <xf numFmtId="167" fontId="22" fillId="4" borderId="1" xfId="0" applyNumberFormat="1" applyFont="1" applyFill="1" applyBorder="1" applyAlignment="1">
      <alignment horizontal="center" vertical="center"/>
    </xf>
    <xf numFmtId="166" fontId="22" fillId="4" borderId="1" xfId="0" applyNumberFormat="1" applyFont="1" applyFill="1" applyBorder="1" applyAlignment="1">
      <alignment horizontal="center" vertical="center"/>
    </xf>
    <xf numFmtId="0" fontId="22" fillId="4" borderId="1" xfId="0" applyFont="1" applyFill="1" applyBorder="1" applyAlignment="1">
      <alignment horizontal="justify" vertical="center"/>
    </xf>
    <xf numFmtId="0" fontId="18" fillId="0" borderId="1" xfId="0" applyFont="1" applyBorder="1" applyAlignment="1">
      <alignment vertical="center"/>
    </xf>
    <xf numFmtId="2" fontId="22" fillId="4" borderId="1" xfId="0" applyNumberFormat="1" applyFont="1" applyFill="1" applyBorder="1" applyAlignment="1">
      <alignment horizontal="center" vertical="center"/>
    </xf>
    <xf numFmtId="2" fontId="22" fillId="4" borderId="1" xfId="0" applyNumberFormat="1" applyFont="1" applyFill="1" applyBorder="1" applyAlignment="1">
      <alignment horizontal="left" vertical="center" wrapText="1"/>
    </xf>
    <xf numFmtId="2" fontId="3" fillId="0" borderId="1" xfId="0" applyNumberFormat="1" applyFont="1" applyBorder="1" applyAlignment="1">
      <alignment horizontal="center" vertical="center"/>
    </xf>
    <xf numFmtId="43" fontId="3" fillId="0" borderId="1" xfId="1" applyFont="1" applyBorder="1" applyAlignment="1">
      <alignment horizontal="center" vertical="center"/>
    </xf>
    <xf numFmtId="2" fontId="22" fillId="4" borderId="1" xfId="0" applyNumberFormat="1" applyFont="1" applyFill="1" applyBorder="1" applyAlignment="1">
      <alignment horizontal="justify" vertical="center" wrapText="1"/>
    </xf>
    <xf numFmtId="0" fontId="20" fillId="0" borderId="1" xfId="4" applyFont="1" applyBorder="1" applyAlignment="1">
      <alignment vertical="center"/>
    </xf>
    <xf numFmtId="167" fontId="6" fillId="0" borderId="1" xfId="0" applyNumberFormat="1" applyFont="1" applyBorder="1" applyAlignment="1">
      <alignment horizontal="center" vertical="center"/>
    </xf>
    <xf numFmtId="0" fontId="22" fillId="4" borderId="1" xfId="0" applyFont="1" applyFill="1" applyBorder="1" applyAlignment="1">
      <alignment vertical="center" wrapText="1"/>
    </xf>
    <xf numFmtId="2" fontId="22" fillId="4" borderId="1" xfId="0" applyNumberFormat="1" applyFont="1" applyFill="1" applyBorder="1" applyAlignment="1">
      <alignment vertical="center" wrapText="1"/>
    </xf>
    <xf numFmtId="166" fontId="10" fillId="0" borderId="1" xfId="0" applyNumberFormat="1" applyFont="1" applyBorder="1" applyAlignment="1">
      <alignment horizontal="center"/>
    </xf>
    <xf numFmtId="0" fontId="6" fillId="0" borderId="1" xfId="4" applyFont="1" applyBorder="1" applyAlignment="1">
      <alignment vertical="center"/>
    </xf>
    <xf numFmtId="43" fontId="6" fillId="0" borderId="1" xfId="4" applyNumberFormat="1" applyFont="1" applyBorder="1" applyAlignment="1">
      <alignment horizontal="center" vertical="center"/>
    </xf>
    <xf numFmtId="0" fontId="6" fillId="0" borderId="1" xfId="4" applyFont="1" applyBorder="1" applyAlignment="1">
      <alignment horizontal="center" vertical="center"/>
    </xf>
    <xf numFmtId="0" fontId="6" fillId="0" borderId="1" xfId="4" applyFont="1" applyBorder="1" applyAlignment="1">
      <alignment horizontal="left" vertical="center"/>
    </xf>
    <xf numFmtId="166" fontId="10" fillId="0" borderId="1" xfId="0" applyNumberFormat="1" applyFont="1" applyBorder="1"/>
    <xf numFmtId="43" fontId="6" fillId="0" borderId="1" xfId="4" applyNumberFormat="1" applyFont="1" applyBorder="1"/>
    <xf numFmtId="0" fontId="0" fillId="0" borderId="1" xfId="0" applyBorder="1"/>
    <xf numFmtId="0" fontId="0" fillId="0" borderId="1" xfId="0" applyBorder="1" applyAlignment="1">
      <alignment vertical="center" wrapText="1"/>
    </xf>
    <xf numFmtId="0" fontId="0" fillId="0" borderId="1" xfId="0" applyBorder="1" applyAlignment="1">
      <alignment horizontal="center" vertical="center"/>
    </xf>
    <xf numFmtId="165" fontId="19" fillId="0" borderId="1" xfId="0" applyNumberFormat="1" applyFont="1" applyBorder="1" applyAlignment="1">
      <alignment horizontal="center" vertical="center"/>
    </xf>
    <xf numFmtId="165" fontId="4" fillId="0" borderId="1" xfId="0" applyNumberFormat="1" applyFont="1" applyBorder="1" applyAlignment="1">
      <alignment horizontal="center" vertical="center"/>
    </xf>
    <xf numFmtId="0" fontId="22" fillId="5" borderId="1" xfId="0" applyFont="1" applyFill="1" applyBorder="1" applyAlignment="1">
      <alignment horizontal="center" vertical="center"/>
    </xf>
    <xf numFmtId="168" fontId="22" fillId="5" borderId="1" xfId="0" applyNumberFormat="1" applyFont="1" applyFill="1" applyBorder="1" applyAlignment="1">
      <alignment horizontal="center" vertical="center"/>
    </xf>
    <xf numFmtId="168" fontId="20" fillId="5" borderId="1" xfId="0" applyNumberFormat="1" applyFont="1" applyFill="1" applyBorder="1" applyAlignment="1">
      <alignment horizontal="center" vertical="center"/>
    </xf>
    <xf numFmtId="169" fontId="22" fillId="4" borderId="1" xfId="1" applyNumberFormat="1" applyFont="1" applyFill="1" applyBorder="1" applyAlignment="1">
      <alignment horizontal="center" vertical="center" shrinkToFit="1"/>
    </xf>
    <xf numFmtId="2" fontId="22" fillId="4" borderId="1" xfId="1" applyNumberFormat="1" applyFont="1" applyFill="1" applyBorder="1" applyAlignment="1">
      <alignment vertical="center" wrapText="1"/>
    </xf>
    <xf numFmtId="43" fontId="17" fillId="0" borderId="1" xfId="1" applyFont="1" applyBorder="1" applyAlignment="1">
      <alignment horizontal="center" vertical="center"/>
    </xf>
    <xf numFmtId="43" fontId="18" fillId="0" borderId="1" xfId="1" applyFont="1" applyBorder="1" applyAlignment="1">
      <alignment horizontal="center" vertical="center"/>
    </xf>
    <xf numFmtId="43" fontId="16" fillId="0" borderId="1" xfId="1" applyFont="1" applyBorder="1" applyAlignment="1">
      <alignment horizontal="center" vertical="center"/>
    </xf>
    <xf numFmtId="43" fontId="0" fillId="0" borderId="0" xfId="1" applyFont="1" applyAlignment="1">
      <alignment horizontal="center" vertical="center"/>
    </xf>
    <xf numFmtId="43" fontId="26" fillId="4" borderId="1" xfId="1" applyFont="1" applyFill="1" applyBorder="1" applyAlignment="1">
      <alignment horizontal="center" vertical="center" wrapText="1"/>
    </xf>
    <xf numFmtId="0" fontId="33" fillId="0" borderId="1" xfId="0" applyFont="1" applyBorder="1" applyAlignment="1">
      <alignment vertical="center"/>
    </xf>
    <xf numFmtId="39" fontId="6" fillId="0" borderId="1" xfId="1" applyNumberFormat="1" applyFont="1" applyFill="1" applyBorder="1" applyAlignment="1">
      <alignment horizontal="center" vertical="center"/>
    </xf>
    <xf numFmtId="169" fontId="6" fillId="0" borderId="1" xfId="1" applyNumberFormat="1" applyFont="1" applyFill="1" applyBorder="1" applyAlignment="1">
      <alignment horizontal="center" vertical="center"/>
    </xf>
    <xf numFmtId="167" fontId="6" fillId="0" borderId="1" xfId="4" applyNumberFormat="1" applyFont="1" applyBorder="1" applyAlignment="1">
      <alignment vertical="center"/>
    </xf>
    <xf numFmtId="0" fontId="9" fillId="0" borderId="0" xfId="3" quotePrefix="1" applyFont="1" applyAlignment="1">
      <alignment horizontal="left" vertical="center"/>
    </xf>
    <xf numFmtId="0" fontId="14" fillId="0" borderId="1" xfId="0" applyFont="1" applyBorder="1" applyAlignment="1">
      <alignment horizontal="center" vertical="center"/>
    </xf>
    <xf numFmtId="2" fontId="19" fillId="0" borderId="1" xfId="0" applyNumberFormat="1" applyFont="1" applyBorder="1" applyAlignment="1">
      <alignment horizontal="center" vertical="center" wrapText="1"/>
    </xf>
    <xf numFmtId="43" fontId="0" fillId="0" borderId="0" xfId="0" applyNumberFormat="1"/>
    <xf numFmtId="170" fontId="6" fillId="0" borderId="1" xfId="1" applyNumberFormat="1" applyFont="1" applyBorder="1" applyAlignment="1">
      <alignment horizontal="center" vertical="center"/>
    </xf>
    <xf numFmtId="0" fontId="18" fillId="3" borderId="1" xfId="0" applyFont="1" applyFill="1" applyBorder="1" applyAlignment="1">
      <alignment horizontal="center" vertical="center"/>
    </xf>
    <xf numFmtId="169" fontId="22" fillId="0" borderId="1" xfId="1" applyNumberFormat="1" applyFont="1" applyFill="1" applyBorder="1" applyAlignment="1">
      <alignment horizontal="left" vertical="center" wrapText="1"/>
    </xf>
    <xf numFmtId="43" fontId="11" fillId="0" borderId="1" xfId="1" applyFont="1" applyFill="1" applyBorder="1" applyAlignment="1">
      <alignment horizontal="center" vertical="center"/>
    </xf>
    <xf numFmtId="43" fontId="22" fillId="0" borderId="1" xfId="1" applyFont="1" applyFill="1" applyBorder="1" applyAlignment="1">
      <alignment horizontal="center" vertical="center"/>
    </xf>
    <xf numFmtId="169" fontId="22" fillId="0" borderId="1" xfId="1" applyNumberFormat="1" applyFont="1" applyFill="1" applyBorder="1" applyAlignment="1">
      <alignment vertical="center" wrapText="1"/>
    </xf>
    <xf numFmtId="2" fontId="22" fillId="0" borderId="1" xfId="1" applyNumberFormat="1" applyFont="1" applyFill="1" applyBorder="1" applyAlignment="1">
      <alignment vertical="center" wrapText="1"/>
    </xf>
    <xf numFmtId="43" fontId="13" fillId="0" borderId="1" xfId="1" applyFont="1" applyFill="1" applyBorder="1" applyAlignment="1">
      <alignment horizontal="center" vertical="center"/>
    </xf>
    <xf numFmtId="166" fontId="10" fillId="0" borderId="1" xfId="1" applyNumberFormat="1" applyFont="1" applyFill="1" applyBorder="1" applyAlignment="1">
      <alignment horizontal="center"/>
    </xf>
    <xf numFmtId="169" fontId="10" fillId="0" borderId="1" xfId="1" applyNumberFormat="1" applyFont="1" applyFill="1" applyBorder="1"/>
    <xf numFmtId="169" fontId="22" fillId="0" borderId="1" xfId="1" applyNumberFormat="1" applyFont="1" applyFill="1" applyBorder="1" applyAlignment="1">
      <alignment horizontal="center" vertical="center" shrinkToFit="1"/>
    </xf>
    <xf numFmtId="43" fontId="3" fillId="0" borderId="1" xfId="1" applyFont="1" applyFill="1" applyBorder="1" applyAlignment="1">
      <alignment horizontal="center" vertical="center"/>
    </xf>
    <xf numFmtId="170" fontId="6" fillId="0" borderId="1" xfId="1" applyNumberFormat="1" applyFont="1" applyFill="1" applyBorder="1" applyAlignment="1">
      <alignment horizontal="center" vertical="center"/>
    </xf>
    <xf numFmtId="0" fontId="15" fillId="0" borderId="1" xfId="0" applyFont="1" applyBorder="1" applyAlignment="1">
      <alignment horizontal="center" vertical="center" wrapText="1"/>
    </xf>
    <xf numFmtId="0" fontId="14" fillId="2" borderId="0" xfId="0" applyFont="1" applyFill="1" applyAlignment="1">
      <alignment vertical="center"/>
    </xf>
    <xf numFmtId="43" fontId="14" fillId="2" borderId="0" xfId="0" applyNumberFormat="1" applyFont="1" applyFill="1" applyAlignment="1">
      <alignment vertical="center"/>
    </xf>
    <xf numFmtId="169" fontId="14" fillId="2" borderId="0" xfId="0" applyNumberFormat="1" applyFont="1" applyFill="1" applyAlignment="1">
      <alignment horizontal="center" vertical="center"/>
    </xf>
    <xf numFmtId="0" fontId="14" fillId="2" borderId="0" xfId="0" applyFont="1" applyFill="1" applyAlignment="1">
      <alignment vertical="center" wrapText="1"/>
    </xf>
    <xf numFmtId="0" fontId="14" fillId="2" borderId="0" xfId="0" applyFont="1" applyFill="1" applyAlignment="1">
      <alignment horizontal="center" vertical="center"/>
    </xf>
    <xf numFmtId="0" fontId="16" fillId="2" borderId="0" xfId="0" applyFont="1" applyFill="1" applyAlignment="1">
      <alignment horizontal="center" vertical="center"/>
    </xf>
    <xf numFmtId="0" fontId="16" fillId="2" borderId="1" xfId="0" applyFont="1" applyFill="1" applyBorder="1" applyAlignment="1">
      <alignment horizontal="center" vertical="center"/>
    </xf>
    <xf numFmtId="0" fontId="16" fillId="2" borderId="1" xfId="0" applyFont="1" applyFill="1" applyBorder="1" applyAlignment="1">
      <alignment vertical="center"/>
    </xf>
    <xf numFmtId="0" fontId="14" fillId="2" borderId="1" xfId="0" applyFont="1" applyFill="1" applyBorder="1" applyAlignment="1">
      <alignment horizontal="center" vertical="center"/>
    </xf>
    <xf numFmtId="0" fontId="16" fillId="2" borderId="1" xfId="0" applyFont="1" applyFill="1" applyBorder="1" applyAlignment="1">
      <alignment horizontal="left" vertical="center"/>
    </xf>
    <xf numFmtId="0" fontId="16" fillId="2" borderId="0" xfId="0" applyFont="1" applyFill="1" applyAlignment="1">
      <alignment vertical="center"/>
    </xf>
    <xf numFmtId="0" fontId="16" fillId="2" borderId="1" xfId="0" applyFont="1" applyFill="1" applyBorder="1" applyAlignment="1">
      <alignment vertical="center" wrapText="1"/>
    </xf>
    <xf numFmtId="171" fontId="16" fillId="2" borderId="0" xfId="0" applyNumberFormat="1" applyFont="1" applyFill="1" applyAlignment="1">
      <alignment horizontal="left" vertical="center"/>
    </xf>
    <xf numFmtId="169" fontId="14" fillId="2" borderId="0" xfId="0" applyNumberFormat="1" applyFont="1" applyFill="1" applyAlignment="1">
      <alignment vertical="center"/>
    </xf>
    <xf numFmtId="172" fontId="14" fillId="2" borderId="0" xfId="0" applyNumberFormat="1" applyFont="1" applyFill="1" applyAlignment="1">
      <alignment vertical="center"/>
    </xf>
    <xf numFmtId="0" fontId="14" fillId="2" borderId="1" xfId="0" applyFont="1" applyFill="1" applyBorder="1" applyAlignment="1">
      <alignment vertical="center"/>
    </xf>
    <xf numFmtId="0" fontId="15" fillId="2" borderId="1" xfId="5" applyFont="1" applyFill="1" applyBorder="1" applyAlignment="1">
      <alignment horizontal="center" vertical="center"/>
    </xf>
    <xf numFmtId="173" fontId="15" fillId="2" borderId="1" xfId="5" applyNumberFormat="1" applyFont="1" applyFill="1" applyBorder="1" applyAlignment="1">
      <alignment horizontal="center" vertical="center"/>
    </xf>
    <xf numFmtId="170" fontId="14" fillId="2" borderId="1" xfId="0" applyNumberFormat="1" applyFont="1" applyFill="1" applyBorder="1" applyAlignment="1">
      <alignment horizontal="center" vertical="center"/>
    </xf>
    <xf numFmtId="43" fontId="16" fillId="2" borderId="1" xfId="0" applyNumberFormat="1" applyFont="1" applyFill="1" applyBorder="1" applyAlignment="1">
      <alignment horizontal="right" vertical="center"/>
    </xf>
    <xf numFmtId="0" fontId="16" fillId="2" borderId="3" xfId="0" applyFont="1" applyFill="1" applyBorder="1" applyAlignment="1">
      <alignment horizontal="center" vertical="center"/>
    </xf>
    <xf numFmtId="0" fontId="16" fillId="2" borderId="3"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4" fillId="2" borderId="1" xfId="6" applyFont="1" applyFill="1" applyBorder="1" applyAlignment="1">
      <alignment vertical="center" wrapText="1"/>
    </xf>
    <xf numFmtId="0" fontId="14" fillId="0" borderId="3" xfId="7" applyFont="1" applyBorder="1" applyAlignment="1">
      <alignment horizontal="center" vertical="center" wrapText="1"/>
    </xf>
    <xf numFmtId="0" fontId="14" fillId="2" borderId="1" xfId="6" applyFont="1" applyFill="1" applyBorder="1" applyAlignment="1">
      <alignment horizontal="center" vertical="center" wrapText="1"/>
    </xf>
    <xf numFmtId="43" fontId="15" fillId="2" borderId="1" xfId="1" applyFont="1" applyFill="1" applyBorder="1" applyAlignment="1">
      <alignment horizontal="center" vertical="center"/>
    </xf>
    <xf numFmtId="169" fontId="15" fillId="2" borderId="1" xfId="1" applyNumberFormat="1" applyFont="1" applyFill="1" applyBorder="1" applyAlignment="1">
      <alignment horizontal="center" vertical="center"/>
    </xf>
    <xf numFmtId="170" fontId="15" fillId="2" borderId="1" xfId="1" applyNumberFormat="1" applyFont="1" applyFill="1" applyBorder="1" applyAlignment="1">
      <alignment horizontal="center" vertical="center"/>
    </xf>
    <xf numFmtId="1" fontId="14" fillId="2" borderId="4" xfId="2" applyNumberFormat="1" applyFont="1" applyFill="1" applyBorder="1" applyAlignment="1">
      <alignment horizontal="left" vertical="top" wrapText="1"/>
    </xf>
    <xf numFmtId="43" fontId="14" fillId="2" borderId="1" xfId="0" applyNumberFormat="1" applyFont="1" applyFill="1" applyBorder="1" applyAlignment="1">
      <alignment horizontal="center" vertical="center"/>
    </xf>
    <xf numFmtId="170" fontId="15" fillId="2" borderId="1" xfId="1" applyNumberFormat="1" applyFont="1" applyFill="1" applyBorder="1" applyAlignment="1">
      <alignment horizontal="center" vertical="center" wrapText="1"/>
    </xf>
    <xf numFmtId="169" fontId="15" fillId="2" borderId="1" xfId="1" applyNumberFormat="1" applyFont="1" applyFill="1" applyBorder="1" applyAlignment="1">
      <alignment horizontal="center" vertical="center" wrapText="1"/>
    </xf>
    <xf numFmtId="43" fontId="15" fillId="2" borderId="1" xfId="1" applyFont="1" applyFill="1" applyBorder="1" applyAlignment="1">
      <alignment horizontal="center" vertical="center" wrapText="1"/>
    </xf>
    <xf numFmtId="2" fontId="14" fillId="2" borderId="1" xfId="0" applyNumberFormat="1" applyFont="1" applyFill="1" applyBorder="1" applyAlignment="1">
      <alignment horizontal="center" vertical="center"/>
    </xf>
    <xf numFmtId="169" fontId="15" fillId="0" borderId="1" xfId="1" applyNumberFormat="1" applyFont="1" applyFill="1" applyBorder="1" applyAlignment="1">
      <alignment horizontal="center" vertical="center"/>
    </xf>
    <xf numFmtId="170" fontId="15" fillId="0" borderId="1" xfId="1" applyNumberFormat="1" applyFont="1" applyFill="1" applyBorder="1" applyAlignment="1">
      <alignment horizontal="center" vertical="center"/>
    </xf>
    <xf numFmtId="43" fontId="15" fillId="0" borderId="1" xfId="1" applyFont="1" applyFill="1" applyBorder="1" applyAlignment="1">
      <alignment horizontal="center" vertical="center"/>
    </xf>
    <xf numFmtId="0" fontId="14" fillId="6" borderId="1" xfId="0" applyFont="1" applyFill="1" applyBorder="1" applyAlignment="1">
      <alignment horizontal="center" vertical="center"/>
    </xf>
    <xf numFmtId="0" fontId="16" fillId="2" borderId="5" xfId="0" applyFont="1" applyFill="1" applyBorder="1" applyAlignment="1">
      <alignment horizontal="center" vertical="center" wrapText="1"/>
    </xf>
    <xf numFmtId="0" fontId="16" fillId="2" borderId="6" xfId="0" applyFont="1" applyFill="1" applyBorder="1" applyAlignment="1">
      <alignment horizontal="center" vertical="center" wrapText="1"/>
    </xf>
    <xf numFmtId="170" fontId="16" fillId="2" borderId="1" xfId="0" applyNumberFormat="1" applyFont="1" applyFill="1" applyBorder="1" applyAlignment="1">
      <alignment horizontal="center" vertical="center"/>
    </xf>
    <xf numFmtId="169" fontId="14" fillId="2" borderId="0" xfId="1" applyNumberFormat="1" applyFont="1" applyFill="1" applyAlignment="1">
      <alignment horizontal="center" vertical="center"/>
    </xf>
    <xf numFmtId="43" fontId="14" fillId="2" borderId="0" xfId="1" applyFont="1" applyFill="1" applyAlignment="1">
      <alignment horizontal="center" vertical="center"/>
    </xf>
    <xf numFmtId="43" fontId="15" fillId="2" borderId="1" xfId="1" quotePrefix="1" applyFont="1" applyFill="1" applyBorder="1" applyAlignment="1">
      <alignment horizontal="center" vertical="center"/>
    </xf>
    <xf numFmtId="0" fontId="16" fillId="7" borderId="1" xfId="0" applyFont="1" applyFill="1" applyBorder="1" applyAlignment="1">
      <alignment horizontal="center" vertical="center"/>
    </xf>
    <xf numFmtId="0" fontId="16" fillId="2" borderId="0" xfId="0" applyFont="1" applyFill="1" applyAlignment="1">
      <alignment horizontal="left" vertical="center"/>
    </xf>
    <xf numFmtId="0" fontId="14" fillId="2" borderId="0" xfId="0" applyFont="1" applyFill="1" applyAlignment="1">
      <alignment horizontal="left" vertical="center"/>
    </xf>
    <xf numFmtId="43" fontId="14" fillId="2" borderId="0" xfId="0" applyNumberFormat="1" applyFont="1" applyFill="1" applyAlignment="1">
      <alignment horizontal="left" vertical="center"/>
    </xf>
    <xf numFmtId="169" fontId="14" fillId="2" borderId="0" xfId="0" applyNumberFormat="1" applyFont="1" applyFill="1" applyAlignment="1">
      <alignment horizontal="left" vertical="center"/>
    </xf>
    <xf numFmtId="0" fontId="16" fillId="2" borderId="0" xfId="0" applyFont="1" applyFill="1" applyAlignment="1">
      <alignment horizontal="center" vertical="center" wrapText="1"/>
    </xf>
    <xf numFmtId="0" fontId="16" fillId="0" borderId="1" xfId="0" applyFont="1" applyBorder="1" applyAlignment="1">
      <alignment horizontal="center"/>
    </xf>
    <xf numFmtId="43" fontId="16" fillId="0" borderId="1" xfId="0" applyNumberFormat="1" applyFont="1" applyBorder="1" applyAlignment="1">
      <alignment horizontal="center" vertical="center"/>
    </xf>
    <xf numFmtId="43" fontId="14" fillId="2" borderId="0" xfId="0" applyNumberFormat="1" applyFont="1" applyFill="1" applyAlignment="1">
      <alignment horizontal="center" vertical="center"/>
    </xf>
    <xf numFmtId="0" fontId="16" fillId="2" borderId="0" xfId="0" applyFont="1" applyFill="1" applyAlignment="1">
      <alignment vertical="center" wrapText="1"/>
    </xf>
    <xf numFmtId="43" fontId="37" fillId="2" borderId="1" xfId="0" applyNumberFormat="1" applyFont="1" applyFill="1" applyBorder="1" applyAlignment="1">
      <alignment horizontal="center" vertical="center"/>
    </xf>
    <xf numFmtId="43" fontId="16" fillId="2" borderId="1" xfId="0" applyNumberFormat="1" applyFont="1" applyFill="1" applyBorder="1" applyAlignment="1">
      <alignment horizontal="center" vertical="center"/>
    </xf>
    <xf numFmtId="0" fontId="38" fillId="0" borderId="0" xfId="0" applyFont="1" applyAlignment="1">
      <alignment horizontal="center" vertical="center"/>
    </xf>
    <xf numFmtId="0" fontId="21" fillId="0" borderId="0" xfId="0" applyFont="1" applyAlignment="1">
      <alignment horizontal="center"/>
    </xf>
    <xf numFmtId="2" fontId="0" fillId="0" borderId="0" xfId="0" applyNumberFormat="1"/>
    <xf numFmtId="44" fontId="4" fillId="0" borderId="1" xfId="2" applyFont="1" applyFill="1" applyBorder="1" applyAlignment="1">
      <alignment horizontal="center" vertical="center"/>
    </xf>
    <xf numFmtId="43" fontId="9" fillId="0" borderId="0" xfId="3" applyNumberFormat="1" applyFont="1" applyAlignment="1">
      <alignment vertical="center" wrapText="1"/>
    </xf>
    <xf numFmtId="170" fontId="16" fillId="2" borderId="1" xfId="0" applyNumberFormat="1" applyFont="1" applyFill="1" applyBorder="1" applyAlignment="1">
      <alignment horizontal="right" vertical="center"/>
    </xf>
    <xf numFmtId="170" fontId="16" fillId="7" borderId="1" xfId="0" applyNumberFormat="1" applyFont="1" applyFill="1" applyBorder="1" applyAlignment="1">
      <alignment horizontal="right" vertical="center"/>
    </xf>
    <xf numFmtId="0" fontId="22" fillId="0" borderId="1" xfId="0" applyFont="1" applyBorder="1" applyAlignment="1">
      <alignment horizontal="center" vertical="center"/>
    </xf>
    <xf numFmtId="167" fontId="22" fillId="0" borderId="1" xfId="0" applyNumberFormat="1" applyFont="1" applyBorder="1" applyAlignment="1">
      <alignment horizontal="center" vertical="center"/>
    </xf>
    <xf numFmtId="2" fontId="22" fillId="0" borderId="1" xfId="0" applyNumberFormat="1" applyFont="1" applyBorder="1" applyAlignment="1">
      <alignment horizontal="center" vertical="center"/>
    </xf>
    <xf numFmtId="168" fontId="22" fillId="0" borderId="1" xfId="0" applyNumberFormat="1" applyFont="1" applyBorder="1" applyAlignment="1">
      <alignment horizontal="center" vertical="center"/>
    </xf>
    <xf numFmtId="168" fontId="20" fillId="0" borderId="1" xfId="0" applyNumberFormat="1" applyFont="1" applyBorder="1" applyAlignment="1">
      <alignment horizontal="center" vertical="center"/>
    </xf>
    <xf numFmtId="166" fontId="22" fillId="0" borderId="1" xfId="0" applyNumberFormat="1" applyFont="1" applyBorder="1" applyAlignment="1">
      <alignment horizontal="center"/>
    </xf>
    <xf numFmtId="0" fontId="22" fillId="0" borderId="1" xfId="0" applyFont="1" applyBorder="1" applyAlignment="1">
      <alignment horizontal="center"/>
    </xf>
    <xf numFmtId="43" fontId="22" fillId="0" borderId="1" xfId="0" applyNumberFormat="1" applyFont="1" applyBorder="1" applyAlignment="1">
      <alignment horizontal="center" vertical="center"/>
    </xf>
    <xf numFmtId="0" fontId="22" fillId="0" borderId="1" xfId="0" applyFont="1" applyBorder="1"/>
    <xf numFmtId="2" fontId="11" fillId="0" borderId="1" xfId="0" applyNumberFormat="1" applyFont="1" applyBorder="1" applyAlignment="1">
      <alignment horizontal="center" vertical="center"/>
    </xf>
    <xf numFmtId="0" fontId="18" fillId="0" borderId="1" xfId="0" applyFont="1" applyBorder="1"/>
    <xf numFmtId="166" fontId="22" fillId="0" borderId="1" xfId="0" applyNumberFormat="1" applyFont="1" applyBorder="1" applyAlignment="1">
      <alignment horizontal="center" vertical="center"/>
    </xf>
    <xf numFmtId="0" fontId="22" fillId="0" borderId="1" xfId="0" applyFont="1" applyBorder="1" applyAlignment="1">
      <alignment horizontal="justify" vertical="center"/>
    </xf>
    <xf numFmtId="2" fontId="22" fillId="0" borderId="1" xfId="0" applyNumberFormat="1" applyFont="1" applyBorder="1" applyAlignment="1">
      <alignment horizontal="left" vertical="center" wrapText="1"/>
    </xf>
    <xf numFmtId="2" fontId="22" fillId="0" borderId="1" xfId="0" applyNumberFormat="1" applyFont="1" applyBorder="1" applyAlignment="1">
      <alignment horizontal="justify" vertical="center" wrapText="1"/>
    </xf>
    <xf numFmtId="0" fontId="22" fillId="0" borderId="1" xfId="0" applyFont="1" applyBorder="1" applyAlignment="1">
      <alignment vertical="center"/>
    </xf>
    <xf numFmtId="2" fontId="22" fillId="0" borderId="1" xfId="0" applyNumberFormat="1" applyFont="1" applyBorder="1" applyAlignment="1">
      <alignment vertical="center" wrapText="1"/>
    </xf>
    <xf numFmtId="0" fontId="22" fillId="0" borderId="1" xfId="0" applyFont="1" applyBorder="1" applyAlignment="1">
      <alignment vertical="center" wrapText="1"/>
    </xf>
    <xf numFmtId="2" fontId="17" fillId="0" borderId="0" xfId="1" applyNumberFormat="1" applyFont="1" applyFill="1" applyAlignment="1">
      <alignment horizontal="left" vertical="center" wrapText="1"/>
    </xf>
    <xf numFmtId="0" fontId="18" fillId="3" borderId="4" xfId="0" applyFont="1" applyFill="1" applyBorder="1" applyAlignment="1">
      <alignment horizontal="center" vertical="center"/>
    </xf>
    <xf numFmtId="0" fontId="18" fillId="3" borderId="2" xfId="0" applyFont="1" applyFill="1" applyBorder="1" applyAlignment="1">
      <alignment horizontal="center" vertical="center"/>
    </xf>
    <xf numFmtId="0" fontId="18" fillId="3" borderId="3" xfId="0" applyFont="1" applyFill="1" applyBorder="1" applyAlignment="1">
      <alignment horizontal="center" vertical="center"/>
    </xf>
    <xf numFmtId="2" fontId="17" fillId="3" borderId="4" xfId="0" applyNumberFormat="1" applyFont="1" applyFill="1" applyBorder="1" applyAlignment="1">
      <alignment horizontal="center" vertical="center"/>
    </xf>
    <xf numFmtId="2" fontId="17" fillId="3" borderId="2" xfId="0" applyNumberFormat="1" applyFont="1" applyFill="1" applyBorder="1" applyAlignment="1">
      <alignment horizontal="center" vertical="center"/>
    </xf>
    <xf numFmtId="2" fontId="17" fillId="3" borderId="3" xfId="0" applyNumberFormat="1" applyFont="1" applyFill="1" applyBorder="1" applyAlignment="1">
      <alignment horizontal="center" vertical="center"/>
    </xf>
    <xf numFmtId="0" fontId="15" fillId="0" borderId="1" xfId="0" applyFont="1" applyBorder="1" applyAlignment="1">
      <alignment horizontal="center" vertical="center" wrapText="1"/>
    </xf>
    <xf numFmtId="0" fontId="15" fillId="3" borderId="4" xfId="0" applyFont="1" applyFill="1" applyBorder="1" applyAlignment="1">
      <alignment horizontal="center" vertical="center"/>
    </xf>
    <xf numFmtId="0" fontId="15" fillId="3" borderId="2" xfId="0" applyFont="1" applyFill="1" applyBorder="1" applyAlignment="1">
      <alignment horizontal="center" vertical="center"/>
    </xf>
    <xf numFmtId="0" fontId="15" fillId="3" borderId="3" xfId="0" applyFont="1" applyFill="1" applyBorder="1" applyAlignment="1">
      <alignment horizontal="center" vertical="center"/>
    </xf>
    <xf numFmtId="0" fontId="8" fillId="0" borderId="0" xfId="3" applyFont="1" applyAlignment="1">
      <alignment horizontal="left" vertical="center"/>
    </xf>
    <xf numFmtId="0" fontId="22" fillId="0" borderId="1" xfId="0" applyFont="1" applyBorder="1" applyAlignment="1">
      <alignment horizontal="center" vertical="center" wrapText="1"/>
    </xf>
    <xf numFmtId="2" fontId="22" fillId="0" borderId="1" xfId="0" applyNumberFormat="1" applyFont="1" applyBorder="1" applyAlignment="1">
      <alignment horizontal="center" vertical="center"/>
    </xf>
    <xf numFmtId="0" fontId="22" fillId="0" borderId="1" xfId="0" applyFont="1" applyBorder="1" applyAlignment="1">
      <alignment horizontal="center" vertical="center"/>
    </xf>
    <xf numFmtId="0" fontId="18" fillId="0" borderId="1" xfId="0" applyFont="1" applyBorder="1" applyAlignment="1">
      <alignment horizontal="left" vertical="center" wrapText="1"/>
    </xf>
    <xf numFmtId="167" fontId="22" fillId="0" borderId="1" xfId="0" applyNumberFormat="1" applyFont="1" applyBorder="1" applyAlignment="1">
      <alignment horizontal="center" vertical="center"/>
    </xf>
    <xf numFmtId="166" fontId="22" fillId="0" borderId="1" xfId="0" applyNumberFormat="1" applyFont="1" applyBorder="1" applyAlignment="1">
      <alignment horizontal="center" vertical="center" wrapText="1"/>
    </xf>
    <xf numFmtId="166" fontId="22" fillId="5" borderId="1" xfId="0" applyNumberFormat="1" applyFont="1" applyFill="1" applyBorder="1" applyAlignment="1">
      <alignment horizontal="center" vertical="center" wrapText="1"/>
    </xf>
    <xf numFmtId="0" fontId="22" fillId="5" borderId="1" xfId="0" applyFont="1" applyFill="1" applyBorder="1" applyAlignment="1">
      <alignment horizontal="center" vertical="center" wrapText="1"/>
    </xf>
    <xf numFmtId="0" fontId="22" fillId="5" borderId="1" xfId="0" applyFont="1" applyFill="1" applyBorder="1" applyAlignment="1">
      <alignment horizontal="center" vertical="center"/>
    </xf>
    <xf numFmtId="167" fontId="22" fillId="5" borderId="1" xfId="0" applyNumberFormat="1" applyFont="1" applyFill="1" applyBorder="1" applyAlignment="1">
      <alignment horizontal="center" vertical="center"/>
    </xf>
    <xf numFmtId="2" fontId="22" fillId="5" borderId="1" xfId="0" applyNumberFormat="1" applyFont="1" applyFill="1" applyBorder="1" applyAlignment="1">
      <alignment horizontal="center" vertical="center"/>
    </xf>
    <xf numFmtId="0" fontId="14" fillId="2" borderId="1" xfId="0" applyFont="1" applyFill="1" applyBorder="1" applyAlignment="1">
      <alignment horizontal="center" vertical="center"/>
    </xf>
    <xf numFmtId="0" fontId="16" fillId="2" borderId="1" xfId="0" applyFont="1" applyFill="1" applyBorder="1" applyAlignment="1">
      <alignment horizontal="center" vertical="center"/>
    </xf>
    <xf numFmtId="0" fontId="16" fillId="2" borderId="0" xfId="0" applyFont="1" applyFill="1" applyAlignment="1">
      <alignment horizontal="center" vertical="center"/>
    </xf>
    <xf numFmtId="0" fontId="16" fillId="2" borderId="1" xfId="0" applyFont="1" applyFill="1" applyBorder="1" applyAlignment="1">
      <alignment horizontal="left" vertical="center"/>
    </xf>
    <xf numFmtId="0" fontId="14" fillId="2" borderId="0" xfId="0" applyFont="1" applyFill="1" applyAlignment="1">
      <alignment horizontal="center" vertical="center"/>
    </xf>
    <xf numFmtId="14" fontId="16" fillId="2" borderId="1" xfId="0" applyNumberFormat="1" applyFont="1" applyFill="1" applyBorder="1" applyAlignment="1">
      <alignment horizontal="center" vertical="center"/>
    </xf>
    <xf numFmtId="0" fontId="14" fillId="2" borderId="1" xfId="0" applyFont="1" applyFill="1" applyBorder="1" applyAlignment="1">
      <alignment horizontal="left" vertical="center" wrapText="1"/>
    </xf>
    <xf numFmtId="0" fontId="16" fillId="0" borderId="6" xfId="0" applyFont="1" applyBorder="1" applyAlignment="1">
      <alignment horizontal="center" vertical="center"/>
    </xf>
    <xf numFmtId="0" fontId="16" fillId="0" borderId="5" xfId="0" applyFont="1" applyBorder="1" applyAlignment="1">
      <alignment horizontal="center" vertical="center"/>
    </xf>
    <xf numFmtId="0" fontId="16" fillId="2" borderId="4" xfId="0" applyFont="1" applyFill="1" applyBorder="1" applyAlignment="1">
      <alignment horizontal="center" vertical="center"/>
    </xf>
    <xf numFmtId="0" fontId="16" fillId="2" borderId="3" xfId="0" applyFont="1" applyFill="1" applyBorder="1" applyAlignment="1">
      <alignment horizontal="center" vertical="center"/>
    </xf>
    <xf numFmtId="0" fontId="16" fillId="7" borderId="8" xfId="0" applyFont="1" applyFill="1" applyBorder="1" applyAlignment="1">
      <alignment horizontal="center" vertical="center" wrapText="1"/>
    </xf>
    <xf numFmtId="0" fontId="16" fillId="7" borderId="7" xfId="0" applyFont="1" applyFill="1" applyBorder="1" applyAlignment="1">
      <alignment horizontal="center" vertical="center" wrapText="1"/>
    </xf>
    <xf numFmtId="0" fontId="16" fillId="7" borderId="6" xfId="0" applyFont="1" applyFill="1" applyBorder="1" applyAlignment="1">
      <alignment horizontal="center" vertical="center" wrapText="1"/>
    </xf>
    <xf numFmtId="0" fontId="16" fillId="7" borderId="5" xfId="0" applyFont="1" applyFill="1" applyBorder="1" applyAlignment="1">
      <alignment horizontal="center" vertical="center" wrapText="1"/>
    </xf>
    <xf numFmtId="0" fontId="16" fillId="7" borderId="1" xfId="0" applyFont="1" applyFill="1" applyBorder="1" applyAlignment="1">
      <alignment horizontal="center" vertical="center" wrapText="1"/>
    </xf>
    <xf numFmtId="169" fontId="16" fillId="7" borderId="1" xfId="0" applyNumberFormat="1" applyFont="1" applyFill="1" applyBorder="1" applyAlignment="1">
      <alignment horizontal="center" vertical="center" wrapText="1"/>
    </xf>
    <xf numFmtId="43" fontId="16" fillId="7" borderId="1" xfId="0" applyNumberFormat="1" applyFont="1" applyFill="1" applyBorder="1" applyAlignment="1">
      <alignment horizontal="center" vertical="center" wrapText="1"/>
    </xf>
    <xf numFmtId="0" fontId="16" fillId="7" borderId="4" xfId="0" applyFont="1" applyFill="1" applyBorder="1" applyAlignment="1">
      <alignment horizontal="center" vertical="center" wrapText="1"/>
    </xf>
    <xf numFmtId="0" fontId="16" fillId="7" borderId="2" xfId="0" applyFont="1" applyFill="1" applyBorder="1" applyAlignment="1">
      <alignment horizontal="center" vertical="center" wrapText="1"/>
    </xf>
    <xf numFmtId="0" fontId="16" fillId="7" borderId="3" xfId="0" applyFont="1" applyFill="1" applyBorder="1" applyAlignment="1">
      <alignment horizontal="center" vertical="center" wrapText="1"/>
    </xf>
    <xf numFmtId="0" fontId="16" fillId="7" borderId="1" xfId="0" applyFont="1" applyFill="1" applyBorder="1" applyAlignment="1">
      <alignment horizontal="center" vertical="center"/>
    </xf>
    <xf numFmtId="0" fontId="34" fillId="2" borderId="4" xfId="0" applyFont="1" applyFill="1" applyBorder="1" applyAlignment="1">
      <alignment horizontal="left" vertical="center"/>
    </xf>
    <xf numFmtId="0" fontId="34" fillId="2" borderId="3" xfId="0" applyFont="1" applyFill="1" applyBorder="1" applyAlignment="1">
      <alignment horizontal="left" vertical="center"/>
    </xf>
    <xf numFmtId="0" fontId="16" fillId="2" borderId="10" xfId="0" applyFont="1" applyFill="1" applyBorder="1" applyAlignment="1">
      <alignment horizontal="left" vertical="center"/>
    </xf>
    <xf numFmtId="0" fontId="16" fillId="2" borderId="0" xfId="0" applyFont="1" applyFill="1" applyAlignment="1">
      <alignment horizontal="left" vertical="center"/>
    </xf>
    <xf numFmtId="0" fontId="16" fillId="2" borderId="9" xfId="0" applyFont="1" applyFill="1" applyBorder="1" applyAlignment="1">
      <alignment horizontal="left" vertical="center"/>
    </xf>
    <xf numFmtId="0" fontId="34" fillId="2" borderId="1" xfId="0" applyFont="1" applyFill="1" applyBorder="1" applyAlignment="1">
      <alignment horizontal="center" vertical="center"/>
    </xf>
    <xf numFmtId="0" fontId="16" fillId="0" borderId="1" xfId="0" applyFont="1" applyBorder="1" applyAlignment="1">
      <alignment horizontal="center" vertical="center"/>
    </xf>
    <xf numFmtId="0" fontId="36" fillId="7" borderId="1" xfId="0" applyFont="1" applyFill="1" applyBorder="1" applyAlignment="1">
      <alignment horizontal="center" vertical="center" wrapText="1"/>
    </xf>
    <xf numFmtId="0" fontId="35" fillId="7" borderId="1" xfId="0" applyFont="1" applyFill="1" applyBorder="1" applyAlignment="1">
      <alignment horizontal="center" vertical="center" wrapText="1"/>
    </xf>
    <xf numFmtId="0" fontId="16" fillId="2" borderId="4" xfId="0" applyFont="1" applyFill="1" applyBorder="1" applyAlignment="1">
      <alignment horizontal="left" vertical="center"/>
    </xf>
    <xf numFmtId="0" fontId="16" fillId="2" borderId="3" xfId="0" applyFont="1" applyFill="1" applyBorder="1" applyAlignment="1">
      <alignment horizontal="left" vertical="center"/>
    </xf>
    <xf numFmtId="0" fontId="16" fillId="2" borderId="2" xfId="0" applyFont="1" applyFill="1" applyBorder="1" applyAlignment="1">
      <alignment horizontal="left" vertical="center"/>
    </xf>
    <xf numFmtId="0" fontId="14" fillId="2" borderId="4" xfId="0" applyFont="1" applyFill="1" applyBorder="1" applyAlignment="1">
      <alignment horizontal="left" vertical="center"/>
    </xf>
    <xf numFmtId="0" fontId="14" fillId="2" borderId="2" xfId="0" applyFont="1" applyFill="1" applyBorder="1" applyAlignment="1">
      <alignment horizontal="left" vertical="center"/>
    </xf>
    <xf numFmtId="0" fontId="14" fillId="2" borderId="3" xfId="0" applyFont="1" applyFill="1" applyBorder="1" applyAlignment="1">
      <alignment horizontal="left" vertical="center"/>
    </xf>
    <xf numFmtId="0" fontId="16" fillId="7" borderId="4" xfId="0" applyFont="1" applyFill="1" applyBorder="1" applyAlignment="1">
      <alignment horizontal="left" vertical="center"/>
    </xf>
    <xf numFmtId="0" fontId="16" fillId="7" borderId="2" xfId="0" applyFont="1" applyFill="1" applyBorder="1" applyAlignment="1">
      <alignment horizontal="left" vertical="center"/>
    </xf>
    <xf numFmtId="0" fontId="16" fillId="7" borderId="3" xfId="0" applyFont="1" applyFill="1" applyBorder="1" applyAlignment="1">
      <alignment horizontal="left" vertical="center"/>
    </xf>
  </cellXfs>
  <cellStyles count="8">
    <cellStyle name="Comma" xfId="1" builtinId="3"/>
    <cellStyle name="Currency" xfId="2" builtinId="4"/>
    <cellStyle name="Normal" xfId="0" builtinId="0"/>
    <cellStyle name="Normal 2" xfId="3" xr:uid="{2256F1A6-F772-4E55-91D7-634EF8308E1F}"/>
    <cellStyle name="Normal 2 2" xfId="4" xr:uid="{0ACAF2E0-7A49-4EEA-B894-B4F9A65FFAD1}"/>
    <cellStyle name="Normal 2 4 2" xfId="7" xr:uid="{D950BDEB-2C62-4E1F-955E-B4F26027B28D}"/>
    <cellStyle name="Normal 2 5" xfId="6" xr:uid="{BA5129D5-CAEC-43AB-9591-DD420F322A15}"/>
    <cellStyle name="Normal 3" xfId="5" xr:uid="{61103355-3EE9-43AC-87B3-83A9A5424C2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8</xdr:col>
      <xdr:colOff>410979</xdr:colOff>
      <xdr:row>4</xdr:row>
      <xdr:rowOff>157865</xdr:rowOff>
    </xdr:from>
    <xdr:to>
      <xdr:col>9</xdr:col>
      <xdr:colOff>1142686</xdr:colOff>
      <xdr:row>9</xdr:row>
      <xdr:rowOff>114922</xdr:rowOff>
    </xdr:to>
    <xdr:pic>
      <xdr:nvPicPr>
        <xdr:cNvPr id="2" name="Picture 1">
          <a:extLst>
            <a:ext uri="{FF2B5EF4-FFF2-40B4-BE49-F238E27FC236}">
              <a16:creationId xmlns:a16="http://schemas.microsoft.com/office/drawing/2014/main" id="{E4578205-9E03-4DD2-A06E-A3C07E99834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411979" y="919865"/>
          <a:ext cx="1579432" cy="90955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410979</xdr:colOff>
      <xdr:row>4</xdr:row>
      <xdr:rowOff>157865</xdr:rowOff>
    </xdr:from>
    <xdr:to>
      <xdr:col>9</xdr:col>
      <xdr:colOff>1142686</xdr:colOff>
      <xdr:row>9</xdr:row>
      <xdr:rowOff>114922</xdr:rowOff>
    </xdr:to>
    <xdr:pic>
      <xdr:nvPicPr>
        <xdr:cNvPr id="3" name="Picture 2">
          <a:extLst>
            <a:ext uri="{FF2B5EF4-FFF2-40B4-BE49-F238E27FC236}">
              <a16:creationId xmlns:a16="http://schemas.microsoft.com/office/drawing/2014/main" id="{1F155525-0775-49E9-B91E-D573DE9C96C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093438" y="907373"/>
          <a:ext cx="1582712" cy="89394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12</xdr:col>
      <xdr:colOff>29298</xdr:colOff>
      <xdr:row>0</xdr:row>
      <xdr:rowOff>85725</xdr:rowOff>
    </xdr:from>
    <xdr:ext cx="4846899" cy="638175"/>
    <xdr:pic>
      <xdr:nvPicPr>
        <xdr:cNvPr id="2" name="Picture 1">
          <a:extLst>
            <a:ext uri="{FF2B5EF4-FFF2-40B4-BE49-F238E27FC236}">
              <a16:creationId xmlns:a16="http://schemas.microsoft.com/office/drawing/2014/main" id="{04D1E7EC-3B9C-4281-B96A-0703E649A0E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458798" y="85725"/>
          <a:ext cx="4846899" cy="638175"/>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12</xdr:col>
      <xdr:colOff>29298</xdr:colOff>
      <xdr:row>0</xdr:row>
      <xdr:rowOff>85725</xdr:rowOff>
    </xdr:from>
    <xdr:ext cx="4846899" cy="638175"/>
    <xdr:pic>
      <xdr:nvPicPr>
        <xdr:cNvPr id="2" name="Picture 1">
          <a:extLst>
            <a:ext uri="{FF2B5EF4-FFF2-40B4-BE49-F238E27FC236}">
              <a16:creationId xmlns:a16="http://schemas.microsoft.com/office/drawing/2014/main" id="{DD41AE60-DED6-499E-AF3D-0AA75C35098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497773" y="85725"/>
          <a:ext cx="4846899" cy="638175"/>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ActionAid\ADRASKAN\ADRASKAN,%20MESGARAN%20SHC\MESGARAN%20BoQ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TIMATIONS"/>
      <sheetName val="BOQ"/>
      <sheetName val="SUMMARY"/>
      <sheetName val="MRF"/>
    </sheetNames>
    <sheetDataSet>
      <sheetData sheetId="0"/>
      <sheetData sheetId="1">
        <row r="14">
          <cell r="H14">
            <v>350</v>
          </cell>
        </row>
        <row r="23">
          <cell r="H23">
            <v>500</v>
          </cell>
        </row>
      </sheetData>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1F0829-7EA4-4EC9-89D6-B96479072A48}">
  <sheetPr>
    <pageSetUpPr fitToPage="1"/>
  </sheetPr>
  <dimension ref="A1:I130"/>
  <sheetViews>
    <sheetView zoomScaleNormal="100" zoomScaleSheetLayoutView="100" workbookViewId="0">
      <pane ySplit="1" topLeftCell="B2" activePane="bottomLeft" state="frozen"/>
      <selection pane="bottomLeft" activeCell="B1" sqref="B1"/>
      <selection activeCell="C19" sqref="C19"/>
    </sheetView>
  </sheetViews>
  <sheetFormatPr defaultRowHeight="15.75"/>
  <cols>
    <col min="1" max="1" width="5.28515625" style="62" bestFit="1" customWidth="1"/>
    <col min="2" max="2" width="78.42578125" bestFit="1" customWidth="1"/>
    <col min="3" max="3" width="9.28515625" style="1" bestFit="1" customWidth="1"/>
    <col min="4" max="4" width="6.7109375" style="1" bestFit="1" customWidth="1"/>
    <col min="5" max="5" width="7.7109375" style="1" bestFit="1" customWidth="1"/>
    <col min="6" max="6" width="6.42578125" style="1" bestFit="1" customWidth="1"/>
    <col min="7" max="7" width="14" style="123" bestFit="1" customWidth="1"/>
    <col min="8" max="8" width="9.140625" style="1"/>
    <col min="9" max="9" width="31.140625" style="1" bestFit="1" customWidth="1"/>
  </cols>
  <sheetData>
    <row r="1" spans="1:9" ht="33.75" customHeight="1">
      <c r="A1" s="55" t="s">
        <v>0</v>
      </c>
      <c r="B1" s="53" t="s">
        <v>1</v>
      </c>
      <c r="C1" s="53" t="s">
        <v>2</v>
      </c>
      <c r="D1" s="53" t="s">
        <v>3</v>
      </c>
      <c r="E1" s="53" t="s">
        <v>4</v>
      </c>
      <c r="F1" s="53" t="s">
        <v>5</v>
      </c>
      <c r="G1" s="124" t="s">
        <v>6</v>
      </c>
      <c r="H1" s="53" t="s">
        <v>7</v>
      </c>
      <c r="I1" s="53" t="s">
        <v>8</v>
      </c>
    </row>
    <row r="2" spans="1:9" ht="20.25">
      <c r="A2" s="57">
        <v>1</v>
      </c>
      <c r="B2" s="54" t="s">
        <v>9</v>
      </c>
      <c r="C2" s="230"/>
      <c r="D2" s="231"/>
      <c r="E2" s="231"/>
      <c r="F2" s="231"/>
      <c r="G2" s="231"/>
      <c r="H2" s="232"/>
      <c r="I2" s="134"/>
    </row>
    <row r="3" spans="1:9">
      <c r="A3" s="58"/>
      <c r="B3" s="40" t="s">
        <v>10</v>
      </c>
      <c r="C3" s="44">
        <v>1</v>
      </c>
      <c r="D3" s="44">
        <v>20</v>
      </c>
      <c r="E3" s="44">
        <v>25</v>
      </c>
      <c r="F3" s="44"/>
      <c r="G3" s="121">
        <f>D3*E3</f>
        <v>500</v>
      </c>
      <c r="H3" s="41" t="s">
        <v>11</v>
      </c>
      <c r="I3" s="44"/>
    </row>
    <row r="4" spans="1:9" ht="20.25">
      <c r="A4" s="57">
        <v>2</v>
      </c>
      <c r="B4" s="54" t="s">
        <v>12</v>
      </c>
      <c r="C4" s="230"/>
      <c r="D4" s="231"/>
      <c r="E4" s="231"/>
      <c r="F4" s="231"/>
      <c r="G4" s="231"/>
      <c r="H4" s="232"/>
      <c r="I4" s="134"/>
    </row>
    <row r="5" spans="1:9" ht="15">
      <c r="A5" s="59"/>
      <c r="B5" s="51" t="s">
        <v>13</v>
      </c>
      <c r="C5" s="44">
        <v>0</v>
      </c>
      <c r="D5" s="44">
        <v>3.5</v>
      </c>
      <c r="E5" s="44">
        <v>3.5</v>
      </c>
      <c r="F5" s="44">
        <v>2</v>
      </c>
      <c r="G5" s="10">
        <f t="shared" ref="G5:G15" si="0">F5*(E5)*(D5)*C5</f>
        <v>0</v>
      </c>
      <c r="H5" s="44" t="s">
        <v>14</v>
      </c>
      <c r="I5" s="44"/>
    </row>
    <row r="6" spans="1:9" ht="15">
      <c r="A6" s="59"/>
      <c r="B6" s="40" t="s">
        <v>15</v>
      </c>
      <c r="C6" s="44">
        <v>0</v>
      </c>
      <c r="D6" s="44">
        <v>1</v>
      </c>
      <c r="E6" s="44">
        <v>4</v>
      </c>
      <c r="F6" s="44">
        <v>1</v>
      </c>
      <c r="G6" s="10">
        <f t="shared" si="0"/>
        <v>0</v>
      </c>
      <c r="H6" s="44" t="s">
        <v>14</v>
      </c>
      <c r="I6" s="44"/>
    </row>
    <row r="7" spans="1:9" ht="15">
      <c r="A7" s="59"/>
      <c r="B7" s="40" t="s">
        <v>16</v>
      </c>
      <c r="C7" s="44">
        <v>2</v>
      </c>
      <c r="D7" s="44">
        <v>3</v>
      </c>
      <c r="E7" s="44">
        <v>0.6</v>
      </c>
      <c r="F7" s="44">
        <v>1</v>
      </c>
      <c r="G7" s="10">
        <f t="shared" si="0"/>
        <v>3.5999999999999996</v>
      </c>
      <c r="H7" s="44" t="s">
        <v>14</v>
      </c>
      <c r="I7" s="44"/>
    </row>
    <row r="8" spans="1:9" ht="15">
      <c r="A8" s="59"/>
      <c r="B8" s="40" t="s">
        <v>17</v>
      </c>
      <c r="C8" s="44">
        <v>1</v>
      </c>
      <c r="D8" s="44">
        <v>4</v>
      </c>
      <c r="E8" s="44">
        <v>4</v>
      </c>
      <c r="F8" s="44">
        <v>1</v>
      </c>
      <c r="G8" s="10">
        <f t="shared" si="0"/>
        <v>16</v>
      </c>
      <c r="H8" s="44" t="s">
        <v>14</v>
      </c>
      <c r="I8" s="44"/>
    </row>
    <row r="9" spans="1:9" ht="15">
      <c r="A9" s="59"/>
      <c r="B9" s="40" t="s">
        <v>18</v>
      </c>
      <c r="C9" s="44">
        <v>1</v>
      </c>
      <c r="D9" s="44">
        <v>260</v>
      </c>
      <c r="E9" s="44">
        <v>0.4</v>
      </c>
      <c r="F9" s="44">
        <v>0.6</v>
      </c>
      <c r="G9" s="10">
        <f t="shared" si="0"/>
        <v>62.4</v>
      </c>
      <c r="H9" s="44" t="s">
        <v>14</v>
      </c>
      <c r="I9" s="44"/>
    </row>
    <row r="10" spans="1:9" ht="15">
      <c r="A10" s="59"/>
      <c r="B10" s="40" t="s">
        <v>19</v>
      </c>
      <c r="C10" s="44">
        <v>1</v>
      </c>
      <c r="D10" s="44">
        <v>32</v>
      </c>
      <c r="E10" s="44">
        <v>0.3</v>
      </c>
      <c r="F10" s="44">
        <v>0.3</v>
      </c>
      <c r="G10" s="10">
        <f t="shared" ref="G10" si="1">F10*(E10)*(D10)*C10</f>
        <v>2.88</v>
      </c>
      <c r="H10" s="44" t="s">
        <v>14</v>
      </c>
      <c r="I10" s="44"/>
    </row>
    <row r="11" spans="1:9" ht="15">
      <c r="A11" s="59"/>
      <c r="B11" s="40" t="s">
        <v>20</v>
      </c>
      <c r="C11" s="44">
        <v>1</v>
      </c>
      <c r="D11" s="44">
        <v>50</v>
      </c>
      <c r="E11" s="44">
        <v>0.3</v>
      </c>
      <c r="F11" s="44">
        <v>0.4</v>
      </c>
      <c r="G11" s="10">
        <f t="shared" ref="G11" si="2">F11*(E11)*(D11)*C11</f>
        <v>6</v>
      </c>
      <c r="H11" s="44" t="s">
        <v>14</v>
      </c>
      <c r="I11" s="44"/>
    </row>
    <row r="12" spans="1:9" ht="15">
      <c r="A12" s="59"/>
      <c r="B12" s="40" t="s">
        <v>21</v>
      </c>
      <c r="C12" s="44">
        <v>0</v>
      </c>
      <c r="D12" s="44">
        <v>1.7</v>
      </c>
      <c r="E12" s="44">
        <v>1.5</v>
      </c>
      <c r="F12" s="44">
        <v>0.4</v>
      </c>
      <c r="G12" s="10">
        <f t="shared" si="0"/>
        <v>0</v>
      </c>
      <c r="H12" s="44" t="s">
        <v>14</v>
      </c>
      <c r="I12" s="44"/>
    </row>
    <row r="13" spans="1:9" ht="15">
      <c r="A13" s="59"/>
      <c r="B13" s="40" t="s">
        <v>22</v>
      </c>
      <c r="C13" s="44">
        <v>0</v>
      </c>
      <c r="D13" s="44">
        <v>1</v>
      </c>
      <c r="E13" s="44">
        <v>1</v>
      </c>
      <c r="F13" s="44">
        <v>0.5</v>
      </c>
      <c r="G13" s="10">
        <f t="shared" si="0"/>
        <v>0</v>
      </c>
      <c r="H13" s="44" t="s">
        <v>14</v>
      </c>
      <c r="I13" s="44"/>
    </row>
    <row r="14" spans="1:9" ht="15">
      <c r="A14" s="59"/>
      <c r="B14" s="40" t="s">
        <v>23</v>
      </c>
      <c r="C14" s="44">
        <v>0</v>
      </c>
      <c r="D14" s="44">
        <v>2</v>
      </c>
      <c r="E14" s="44">
        <v>2</v>
      </c>
      <c r="F14" s="44">
        <v>0.5</v>
      </c>
      <c r="G14" s="10">
        <f t="shared" si="0"/>
        <v>0</v>
      </c>
      <c r="H14" s="44" t="s">
        <v>14</v>
      </c>
      <c r="I14" s="44"/>
    </row>
    <row r="15" spans="1:9" ht="15">
      <c r="A15" s="59"/>
      <c r="B15" s="40" t="s">
        <v>24</v>
      </c>
      <c r="C15" s="44">
        <v>0</v>
      </c>
      <c r="D15" s="44">
        <v>2.6</v>
      </c>
      <c r="E15" s="44">
        <v>3.7</v>
      </c>
      <c r="F15" s="44">
        <v>1</v>
      </c>
      <c r="G15" s="10">
        <f t="shared" si="0"/>
        <v>0</v>
      </c>
      <c r="H15" s="44" t="s">
        <v>14</v>
      </c>
      <c r="I15" s="44"/>
    </row>
    <row r="16" spans="1:9">
      <c r="A16" s="59"/>
      <c r="B16" s="50"/>
      <c r="C16" s="50"/>
      <c r="D16" s="50"/>
      <c r="E16" s="50"/>
      <c r="F16" s="50"/>
      <c r="G16" s="122">
        <f>SUM(G5:G15)</f>
        <v>90.88</v>
      </c>
      <c r="H16" s="42" t="s">
        <v>14</v>
      </c>
      <c r="I16" s="130"/>
    </row>
    <row r="17" spans="1:9" ht="20.25">
      <c r="A17" s="57">
        <v>3</v>
      </c>
      <c r="B17" s="54" t="s">
        <v>25</v>
      </c>
      <c r="C17" s="230"/>
      <c r="D17" s="231"/>
      <c r="E17" s="231"/>
      <c r="F17" s="231"/>
      <c r="G17" s="231"/>
      <c r="H17" s="232"/>
      <c r="I17" s="134"/>
    </row>
    <row r="18" spans="1:9">
      <c r="A18" s="58"/>
      <c r="B18" s="40" t="s">
        <v>18</v>
      </c>
      <c r="C18" s="44">
        <v>1</v>
      </c>
      <c r="D18" s="44">
        <f>D9</f>
        <v>260</v>
      </c>
      <c r="E18" s="44">
        <v>0.4</v>
      </c>
      <c r="F18" s="44">
        <v>0.6</v>
      </c>
      <c r="G18" s="10">
        <f>F18*E18*C18*D18</f>
        <v>62.4</v>
      </c>
      <c r="H18" s="44" t="s">
        <v>14</v>
      </c>
      <c r="I18" s="44"/>
    </row>
    <row r="19" spans="1:9" ht="15">
      <c r="A19" s="59"/>
      <c r="B19" s="40" t="s">
        <v>19</v>
      </c>
      <c r="C19" s="44">
        <v>1</v>
      </c>
      <c r="D19" s="44">
        <v>32</v>
      </c>
      <c r="E19" s="44">
        <v>0.3</v>
      </c>
      <c r="F19" s="44">
        <v>0.3</v>
      </c>
      <c r="G19" s="10">
        <f t="shared" ref="G19:G20" si="3">F19*(E19)*(D19)*C19</f>
        <v>2.88</v>
      </c>
      <c r="H19" s="44" t="s">
        <v>14</v>
      </c>
      <c r="I19" s="44"/>
    </row>
    <row r="20" spans="1:9" ht="15">
      <c r="A20" s="59"/>
      <c r="B20" s="40" t="s">
        <v>20</v>
      </c>
      <c r="C20" s="44">
        <v>1</v>
      </c>
      <c r="D20" s="44">
        <v>50</v>
      </c>
      <c r="E20" s="44">
        <v>0.3</v>
      </c>
      <c r="F20" s="44">
        <v>0.4</v>
      </c>
      <c r="G20" s="10">
        <f t="shared" si="3"/>
        <v>6</v>
      </c>
      <c r="H20" s="44" t="s">
        <v>14</v>
      </c>
      <c r="I20" s="44"/>
    </row>
    <row r="21" spans="1:9">
      <c r="A21" s="58"/>
      <c r="B21" s="40" t="s">
        <v>26</v>
      </c>
      <c r="C21" s="44">
        <v>1</v>
      </c>
      <c r="D21" s="44">
        <v>4</v>
      </c>
      <c r="E21" s="44">
        <v>4</v>
      </c>
      <c r="F21" s="44">
        <v>0.5</v>
      </c>
      <c r="G21" s="10">
        <f>F21*E21*C21*D21</f>
        <v>8</v>
      </c>
      <c r="H21" s="44" t="s">
        <v>14</v>
      </c>
      <c r="I21" s="44"/>
    </row>
    <row r="22" spans="1:9">
      <c r="A22" s="60"/>
      <c r="B22" s="236"/>
      <c r="C22" s="236"/>
      <c r="D22" s="236"/>
      <c r="E22" s="236"/>
      <c r="F22" s="236"/>
      <c r="G22" s="121">
        <f>SUM(G18:G21)</f>
        <v>79.28</v>
      </c>
      <c r="H22" s="42" t="s">
        <v>14</v>
      </c>
      <c r="I22" s="41"/>
    </row>
    <row r="23" spans="1:9" ht="20.25">
      <c r="A23" s="57">
        <v>4</v>
      </c>
      <c r="B23" s="46" t="s">
        <v>27</v>
      </c>
      <c r="C23" s="233"/>
      <c r="D23" s="234"/>
      <c r="E23" s="234"/>
      <c r="F23" s="234"/>
      <c r="G23" s="234"/>
      <c r="H23" s="235"/>
      <c r="I23" s="134"/>
    </row>
    <row r="24" spans="1:9">
      <c r="A24" s="60"/>
      <c r="B24" s="40" t="s">
        <v>13</v>
      </c>
      <c r="C24" s="44">
        <v>0</v>
      </c>
      <c r="D24" s="44">
        <v>12</v>
      </c>
      <c r="E24" s="44">
        <v>0.5</v>
      </c>
      <c r="F24" s="44">
        <v>2</v>
      </c>
      <c r="G24" s="10">
        <f>C24*D24*E24*F24</f>
        <v>0</v>
      </c>
      <c r="H24" s="44" t="s">
        <v>14</v>
      </c>
      <c r="I24" s="43"/>
    </row>
    <row r="25" spans="1:9">
      <c r="A25" s="60"/>
      <c r="B25" s="40" t="s">
        <v>21</v>
      </c>
      <c r="C25" s="44">
        <v>0</v>
      </c>
      <c r="D25" s="44">
        <v>5.4</v>
      </c>
      <c r="E25" s="44">
        <v>0.5</v>
      </c>
      <c r="F25" s="44">
        <v>0.8</v>
      </c>
      <c r="G25" s="10">
        <f t="shared" ref="G25:G26" si="4">C25*D25*E25*F25</f>
        <v>0</v>
      </c>
      <c r="H25" s="44" t="s">
        <v>14</v>
      </c>
      <c r="I25" s="43"/>
    </row>
    <row r="26" spans="1:9">
      <c r="A26" s="60"/>
      <c r="B26" s="40" t="s">
        <v>28</v>
      </c>
      <c r="C26" s="44">
        <v>0</v>
      </c>
      <c r="D26" s="44">
        <v>7</v>
      </c>
      <c r="E26" s="44">
        <v>0.5</v>
      </c>
      <c r="F26" s="44">
        <v>0.8</v>
      </c>
      <c r="G26" s="10">
        <f t="shared" si="4"/>
        <v>0</v>
      </c>
      <c r="H26" s="44" t="s">
        <v>14</v>
      </c>
      <c r="I26" s="43"/>
    </row>
    <row r="27" spans="1:9">
      <c r="A27" s="60"/>
      <c r="B27" s="9"/>
      <c r="C27" s="9"/>
      <c r="D27" s="9"/>
      <c r="E27" s="9"/>
      <c r="F27" s="9"/>
      <c r="G27" s="121">
        <f>SUM(G24:G26)</f>
        <v>0</v>
      </c>
      <c r="H27" s="42" t="s">
        <v>14</v>
      </c>
      <c r="I27" s="41"/>
    </row>
    <row r="28" spans="1:9" ht="20.25">
      <c r="A28" s="57">
        <v>5</v>
      </c>
      <c r="B28" s="46" t="s">
        <v>29</v>
      </c>
      <c r="C28" s="233"/>
      <c r="D28" s="234"/>
      <c r="E28" s="234"/>
      <c r="F28" s="234"/>
      <c r="G28" s="234"/>
      <c r="H28" s="235"/>
      <c r="I28" s="134"/>
    </row>
    <row r="29" spans="1:9">
      <c r="A29" s="61"/>
      <c r="B29" s="40" t="s">
        <v>13</v>
      </c>
      <c r="C29" s="44">
        <v>0</v>
      </c>
      <c r="D29" s="44">
        <v>2.5</v>
      </c>
      <c r="E29" s="44">
        <v>0.2</v>
      </c>
      <c r="F29" s="44">
        <v>1.8</v>
      </c>
      <c r="G29" s="10">
        <f>C29*D29*E29*F29</f>
        <v>0</v>
      </c>
      <c r="H29" s="44" t="s">
        <v>14</v>
      </c>
      <c r="I29" s="131"/>
    </row>
    <row r="30" spans="1:9">
      <c r="A30" s="60"/>
      <c r="B30" s="40" t="s">
        <v>30</v>
      </c>
      <c r="C30" s="44">
        <v>2</v>
      </c>
      <c r="D30" s="44">
        <v>5</v>
      </c>
      <c r="E30" s="44">
        <v>0.2</v>
      </c>
      <c r="F30" s="44">
        <v>2</v>
      </c>
      <c r="G30" s="10">
        <f t="shared" ref="G30:G33" si="5">C30*D30*E30*F30</f>
        <v>4</v>
      </c>
      <c r="H30" s="44" t="s">
        <v>14</v>
      </c>
      <c r="I30" s="39"/>
    </row>
    <row r="31" spans="1:9">
      <c r="A31" s="60"/>
      <c r="B31" s="40" t="s">
        <v>31</v>
      </c>
      <c r="C31" s="44">
        <v>1</v>
      </c>
      <c r="D31" s="44">
        <v>1.1000000000000001</v>
      </c>
      <c r="E31" s="44">
        <v>1.1000000000000001</v>
      </c>
      <c r="F31" s="44">
        <v>0.5</v>
      </c>
      <c r="G31" s="10">
        <f t="shared" si="5"/>
        <v>0.60500000000000009</v>
      </c>
      <c r="H31" s="44" t="s">
        <v>14</v>
      </c>
      <c r="I31" s="39"/>
    </row>
    <row r="32" spans="1:9">
      <c r="A32" s="60"/>
      <c r="B32" s="40" t="s">
        <v>28</v>
      </c>
      <c r="C32" s="44">
        <v>0</v>
      </c>
      <c r="D32" s="44">
        <v>6.2</v>
      </c>
      <c r="E32" s="44">
        <v>0.2</v>
      </c>
      <c r="F32" s="44">
        <v>2.2000000000000002</v>
      </c>
      <c r="G32" s="10">
        <f t="shared" si="5"/>
        <v>0</v>
      </c>
      <c r="H32" s="44" t="s">
        <v>14</v>
      </c>
      <c r="I32" s="39"/>
    </row>
    <row r="33" spans="1:9">
      <c r="A33" s="60"/>
      <c r="B33" s="40" t="s">
        <v>32</v>
      </c>
      <c r="C33" s="44">
        <v>1</v>
      </c>
      <c r="D33" s="44">
        <v>7.6000000000000005</v>
      </c>
      <c r="E33" s="44">
        <v>0.3</v>
      </c>
      <c r="F33" s="44">
        <v>2.2000000000000002</v>
      </c>
      <c r="G33" s="10">
        <f t="shared" si="5"/>
        <v>5.0160000000000009</v>
      </c>
      <c r="H33" s="44" t="s">
        <v>14</v>
      </c>
      <c r="I33" s="39"/>
    </row>
    <row r="34" spans="1:9">
      <c r="A34" s="60"/>
      <c r="B34" s="48"/>
      <c r="C34" s="48"/>
      <c r="D34" s="48"/>
      <c r="E34" s="48"/>
      <c r="F34" s="48"/>
      <c r="G34" s="121">
        <f>SUM(G29:G33)</f>
        <v>9.6210000000000022</v>
      </c>
      <c r="H34" s="41" t="s">
        <v>14</v>
      </c>
      <c r="I34" s="44"/>
    </row>
    <row r="35" spans="1:9" ht="20.25">
      <c r="A35" s="57">
        <v>6</v>
      </c>
      <c r="B35" s="54" t="s">
        <v>33</v>
      </c>
      <c r="C35" s="237"/>
      <c r="D35" s="238"/>
      <c r="E35" s="238"/>
      <c r="F35" s="238"/>
      <c r="G35" s="238"/>
      <c r="H35" s="239"/>
      <c r="I35" s="134"/>
    </row>
    <row r="36" spans="1:9">
      <c r="A36" s="58"/>
      <c r="B36" s="40" t="s">
        <v>34</v>
      </c>
      <c r="C36" s="44">
        <v>1</v>
      </c>
      <c r="D36" s="44">
        <v>1.1000000000000001</v>
      </c>
      <c r="E36" s="44">
        <v>1.1000000000000001</v>
      </c>
      <c r="F36" s="44">
        <v>0.1</v>
      </c>
      <c r="G36" s="10">
        <f>F36*E36*C36*D36</f>
        <v>0.12100000000000002</v>
      </c>
      <c r="H36" s="44" t="s">
        <v>14</v>
      </c>
      <c r="I36" s="39"/>
    </row>
    <row r="37" spans="1:9">
      <c r="A37" s="58"/>
      <c r="B37" s="40" t="s">
        <v>35</v>
      </c>
      <c r="C37" s="44">
        <v>1</v>
      </c>
      <c r="D37" s="44">
        <v>50</v>
      </c>
      <c r="E37" s="44">
        <v>0.3</v>
      </c>
      <c r="F37" s="44">
        <v>0.03</v>
      </c>
      <c r="G37" s="10">
        <f t="shared" ref="G37:G45" si="6">F37*E37*C37*D37</f>
        <v>0.44999999999999996</v>
      </c>
      <c r="H37" s="44" t="s">
        <v>14</v>
      </c>
      <c r="I37" s="39"/>
    </row>
    <row r="38" spans="1:9">
      <c r="A38" s="58"/>
      <c r="B38" s="40" t="s">
        <v>18</v>
      </c>
      <c r="C38" s="44">
        <v>1</v>
      </c>
      <c r="D38" s="44">
        <v>80</v>
      </c>
      <c r="E38" s="44">
        <v>0.3</v>
      </c>
      <c r="F38" s="44">
        <v>0.05</v>
      </c>
      <c r="G38" s="10">
        <f t="shared" si="6"/>
        <v>1.2</v>
      </c>
      <c r="H38" s="44" t="s">
        <v>14</v>
      </c>
      <c r="I38" s="39"/>
    </row>
    <row r="39" spans="1:9">
      <c r="A39" s="58"/>
      <c r="B39" s="40" t="s">
        <v>36</v>
      </c>
      <c r="C39" s="44">
        <v>1</v>
      </c>
      <c r="D39" s="44">
        <v>7</v>
      </c>
      <c r="E39" s="44">
        <v>7</v>
      </c>
      <c r="F39" s="44">
        <v>0.05</v>
      </c>
      <c r="G39" s="10">
        <f t="shared" si="6"/>
        <v>2.4500000000000002</v>
      </c>
      <c r="H39" s="44" t="s">
        <v>14</v>
      </c>
      <c r="I39" s="39"/>
    </row>
    <row r="40" spans="1:9">
      <c r="A40" s="58"/>
      <c r="B40" s="40" t="s">
        <v>37</v>
      </c>
      <c r="C40" s="44">
        <v>0</v>
      </c>
      <c r="D40" s="44">
        <v>1.5</v>
      </c>
      <c r="E40" s="44">
        <v>6</v>
      </c>
      <c r="F40" s="44">
        <v>0.05</v>
      </c>
      <c r="G40" s="10">
        <f t="shared" si="6"/>
        <v>0</v>
      </c>
      <c r="H40" s="44" t="s">
        <v>14</v>
      </c>
      <c r="I40" s="39"/>
    </row>
    <row r="41" spans="1:9">
      <c r="A41" s="58"/>
      <c r="B41" s="40" t="s">
        <v>28</v>
      </c>
      <c r="C41" s="44">
        <v>0</v>
      </c>
      <c r="D41" s="44">
        <v>1.5</v>
      </c>
      <c r="E41" s="44">
        <v>2</v>
      </c>
      <c r="F41" s="44">
        <v>0.05</v>
      </c>
      <c r="G41" s="10">
        <f t="shared" si="6"/>
        <v>0</v>
      </c>
      <c r="H41" s="44" t="s">
        <v>14</v>
      </c>
      <c r="I41" s="39"/>
    </row>
    <row r="42" spans="1:9">
      <c r="A42" s="58"/>
      <c r="B42" s="40" t="s">
        <v>38</v>
      </c>
      <c r="C42" s="44">
        <v>0</v>
      </c>
      <c r="D42" s="44">
        <v>13.6</v>
      </c>
      <c r="E42" s="44">
        <v>1</v>
      </c>
      <c r="F42" s="44">
        <v>0.05</v>
      </c>
      <c r="G42" s="10">
        <f t="shared" si="6"/>
        <v>0</v>
      </c>
      <c r="H42" s="44" t="s">
        <v>14</v>
      </c>
      <c r="I42" s="39"/>
    </row>
    <row r="43" spans="1:9">
      <c r="A43" s="58"/>
      <c r="B43" s="40" t="s">
        <v>16</v>
      </c>
      <c r="C43" s="44">
        <v>2</v>
      </c>
      <c r="D43" s="44">
        <v>4</v>
      </c>
      <c r="E43" s="44">
        <v>1.5</v>
      </c>
      <c r="F43" s="44">
        <v>0.1</v>
      </c>
      <c r="G43" s="10">
        <f t="shared" si="6"/>
        <v>1.2000000000000002</v>
      </c>
      <c r="H43" s="44" t="s">
        <v>14</v>
      </c>
      <c r="I43" s="39"/>
    </row>
    <row r="44" spans="1:9">
      <c r="A44" s="58"/>
      <c r="B44" s="40" t="s">
        <v>39</v>
      </c>
      <c r="C44" s="44">
        <v>1</v>
      </c>
      <c r="D44" s="44">
        <v>1.5</v>
      </c>
      <c r="E44" s="44">
        <v>1.5</v>
      </c>
      <c r="F44" s="44">
        <v>0.05</v>
      </c>
      <c r="G44" s="10">
        <f t="shared" si="6"/>
        <v>0.11250000000000002</v>
      </c>
      <c r="H44" s="44" t="s">
        <v>14</v>
      </c>
      <c r="I44" s="39"/>
    </row>
    <row r="45" spans="1:9">
      <c r="A45" s="58"/>
      <c r="B45" s="40" t="s">
        <v>22</v>
      </c>
      <c r="C45" s="44">
        <v>0</v>
      </c>
      <c r="D45" s="44">
        <v>1</v>
      </c>
      <c r="E45" s="44">
        <v>1</v>
      </c>
      <c r="F45" s="44">
        <v>0.7</v>
      </c>
      <c r="G45" s="10">
        <f t="shared" si="6"/>
        <v>0</v>
      </c>
      <c r="H45" s="44" t="s">
        <v>14</v>
      </c>
      <c r="I45" s="45"/>
    </row>
    <row r="46" spans="1:9">
      <c r="A46" s="58"/>
      <c r="B46" s="48"/>
      <c r="C46" s="48"/>
      <c r="D46" s="48"/>
      <c r="E46" s="48"/>
      <c r="F46" s="48"/>
      <c r="G46" s="120">
        <f>SUM(G36:G45)</f>
        <v>5.5335000000000001</v>
      </c>
      <c r="H46" s="41" t="s">
        <v>14</v>
      </c>
      <c r="I46" s="44"/>
    </row>
    <row r="47" spans="1:9" ht="20.25">
      <c r="A47" s="57">
        <v>7</v>
      </c>
      <c r="B47" s="54" t="s">
        <v>40</v>
      </c>
      <c r="C47" s="237"/>
      <c r="D47" s="238"/>
      <c r="E47" s="238"/>
      <c r="F47" s="238"/>
      <c r="G47" s="238"/>
      <c r="H47" s="239"/>
      <c r="I47" s="134"/>
    </row>
    <row r="48" spans="1:9">
      <c r="A48" s="60"/>
      <c r="B48" s="40" t="s">
        <v>41</v>
      </c>
      <c r="C48" s="47">
        <v>0</v>
      </c>
      <c r="D48" s="44">
        <v>80</v>
      </c>
      <c r="E48" s="44">
        <v>0.3</v>
      </c>
      <c r="F48" s="44">
        <v>1</v>
      </c>
      <c r="G48" s="10">
        <f>F48*E48*C48*D48</f>
        <v>0</v>
      </c>
      <c r="H48" s="44" t="s">
        <v>11</v>
      </c>
      <c r="I48" s="43"/>
    </row>
    <row r="49" spans="1:9">
      <c r="A49" s="60"/>
      <c r="B49" s="40" t="s">
        <v>42</v>
      </c>
      <c r="C49" s="47">
        <v>0</v>
      </c>
      <c r="D49" s="44">
        <v>2</v>
      </c>
      <c r="E49" s="44">
        <v>2</v>
      </c>
      <c r="F49" s="44">
        <v>1</v>
      </c>
      <c r="G49" s="10">
        <f>E49*D49*C49</f>
        <v>0</v>
      </c>
      <c r="H49" s="44" t="s">
        <v>11</v>
      </c>
      <c r="I49" s="43"/>
    </row>
    <row r="50" spans="1:9">
      <c r="A50" s="60"/>
      <c r="B50" s="48"/>
      <c r="C50" s="47">
        <v>0</v>
      </c>
      <c r="D50" s="44">
        <v>1</v>
      </c>
      <c r="E50" s="44">
        <v>1</v>
      </c>
      <c r="F50" s="44">
        <v>1</v>
      </c>
      <c r="G50" s="120">
        <f>SUM(G48:G49)</f>
        <v>0</v>
      </c>
      <c r="H50" s="44" t="s">
        <v>11</v>
      </c>
      <c r="I50" s="44"/>
    </row>
    <row r="51" spans="1:9" ht="20.25">
      <c r="A51" s="57">
        <v>8</v>
      </c>
      <c r="B51" s="54" t="s">
        <v>43</v>
      </c>
      <c r="C51" s="230"/>
      <c r="D51" s="231"/>
      <c r="E51" s="231"/>
      <c r="F51" s="231"/>
      <c r="G51" s="231"/>
      <c r="H51" s="232"/>
      <c r="I51" s="134"/>
    </row>
    <row r="52" spans="1:9">
      <c r="A52" s="60"/>
      <c r="B52" s="40" t="s">
        <v>44</v>
      </c>
      <c r="C52" s="44">
        <v>1</v>
      </c>
      <c r="D52" s="44">
        <v>4</v>
      </c>
      <c r="E52" s="44">
        <v>4</v>
      </c>
      <c r="F52" s="44">
        <v>0.5</v>
      </c>
      <c r="G52" s="10">
        <f>F52*E52*D52*C52</f>
        <v>8</v>
      </c>
      <c r="H52" s="44" t="s">
        <v>14</v>
      </c>
      <c r="I52" s="39"/>
    </row>
    <row r="53" spans="1:9">
      <c r="A53" s="60"/>
      <c r="B53" s="40" t="s">
        <v>45</v>
      </c>
      <c r="C53" s="44">
        <v>4</v>
      </c>
      <c r="D53" s="44">
        <v>0.3</v>
      </c>
      <c r="E53" s="44">
        <v>0.3</v>
      </c>
      <c r="F53" s="44">
        <v>5.6</v>
      </c>
      <c r="G53" s="10">
        <f t="shared" ref="G53:G54" si="7">F53*E53*D53*C53</f>
        <v>2.016</v>
      </c>
      <c r="H53" s="44" t="s">
        <v>14</v>
      </c>
      <c r="I53" s="39"/>
    </row>
    <row r="54" spans="1:9">
      <c r="A54" s="60"/>
      <c r="B54" s="40" t="s">
        <v>46</v>
      </c>
      <c r="C54" s="44">
        <v>8</v>
      </c>
      <c r="D54" s="44">
        <v>2.4</v>
      </c>
      <c r="E54" s="44">
        <v>0.3</v>
      </c>
      <c r="F54" s="44">
        <v>0.3</v>
      </c>
      <c r="G54" s="10">
        <f t="shared" si="7"/>
        <v>1.728</v>
      </c>
      <c r="H54" s="44" t="s">
        <v>14</v>
      </c>
      <c r="I54" s="39"/>
    </row>
    <row r="55" spans="1:9">
      <c r="A55" s="60"/>
      <c r="B55" s="40" t="s">
        <v>47</v>
      </c>
      <c r="C55" s="44">
        <v>1</v>
      </c>
      <c r="D55" s="44">
        <v>4</v>
      </c>
      <c r="E55" s="44">
        <v>4</v>
      </c>
      <c r="F55" s="44">
        <v>0.2</v>
      </c>
      <c r="G55" s="10">
        <f t="shared" ref="G55" si="8">F55*E55*D55*C55</f>
        <v>3.2</v>
      </c>
      <c r="H55" s="44" t="s">
        <v>14</v>
      </c>
      <c r="I55" s="39"/>
    </row>
    <row r="56" spans="1:9">
      <c r="A56" s="60"/>
      <c r="B56" s="40" t="s">
        <v>48</v>
      </c>
      <c r="C56" s="44">
        <v>4</v>
      </c>
      <c r="D56" s="44">
        <v>3</v>
      </c>
      <c r="E56" s="44">
        <v>0.2</v>
      </c>
      <c r="F56" s="44">
        <v>2.1</v>
      </c>
      <c r="G56" s="10">
        <f t="shared" ref="G56" si="9">F56*E56*D56*C56</f>
        <v>5.0400000000000009</v>
      </c>
      <c r="H56" s="44" t="s">
        <v>14</v>
      </c>
      <c r="I56" s="39"/>
    </row>
    <row r="57" spans="1:9">
      <c r="A57" s="60"/>
      <c r="B57" s="40" t="s">
        <v>49</v>
      </c>
      <c r="C57" s="44">
        <v>1</v>
      </c>
      <c r="D57" s="44">
        <v>3.2</v>
      </c>
      <c r="E57" s="44">
        <v>3.2</v>
      </c>
      <c r="F57" s="44">
        <v>0.1</v>
      </c>
      <c r="G57" s="10">
        <f t="shared" ref="G57" si="10">F57*E57*D57*C57</f>
        <v>1.0240000000000002</v>
      </c>
      <c r="H57" s="44" t="s">
        <v>14</v>
      </c>
      <c r="I57" s="39"/>
    </row>
    <row r="58" spans="1:9">
      <c r="A58" s="60"/>
      <c r="B58" s="48"/>
      <c r="C58" s="48"/>
      <c r="D58" s="48"/>
      <c r="E58" s="48"/>
      <c r="F58" s="48"/>
      <c r="G58" s="120">
        <f>SUM(G52:G57)</f>
        <v>21.008000000000003</v>
      </c>
      <c r="H58" s="42" t="s">
        <v>14</v>
      </c>
      <c r="I58" s="44"/>
    </row>
    <row r="59" spans="1:9" ht="20.25">
      <c r="A59" s="57">
        <v>9</v>
      </c>
      <c r="B59" s="54" t="s">
        <v>50</v>
      </c>
      <c r="C59" s="230"/>
      <c r="D59" s="231"/>
      <c r="E59" s="231"/>
      <c r="F59" s="231"/>
      <c r="G59" s="231"/>
      <c r="H59" s="232"/>
      <c r="I59" s="134"/>
    </row>
    <row r="60" spans="1:9">
      <c r="A60" s="60"/>
      <c r="B60" s="40" t="s">
        <v>45</v>
      </c>
      <c r="C60" s="44">
        <v>4</v>
      </c>
      <c r="D60" s="44">
        <v>0.3</v>
      </c>
      <c r="E60" s="44">
        <v>4</v>
      </c>
      <c r="F60" s="44">
        <v>5.6</v>
      </c>
      <c r="G60" s="10">
        <f t="shared" ref="G60:G64" si="11">F60*E60*D60*C60</f>
        <v>26.88</v>
      </c>
      <c r="H60" s="44" t="s">
        <v>11</v>
      </c>
      <c r="I60" s="39"/>
    </row>
    <row r="61" spans="1:9">
      <c r="A61" s="60"/>
      <c r="B61" s="40" t="s">
        <v>46</v>
      </c>
      <c r="C61" s="44">
        <v>8</v>
      </c>
      <c r="D61" s="44">
        <v>0.3</v>
      </c>
      <c r="E61" s="44">
        <v>4</v>
      </c>
      <c r="F61" s="44">
        <v>2.4</v>
      </c>
      <c r="G61" s="10">
        <f t="shared" si="11"/>
        <v>23.04</v>
      </c>
      <c r="H61" s="44" t="s">
        <v>11</v>
      </c>
      <c r="I61" s="39"/>
    </row>
    <row r="62" spans="1:9">
      <c r="A62" s="60"/>
      <c r="B62" s="40" t="s">
        <v>47</v>
      </c>
      <c r="C62" s="44">
        <v>1</v>
      </c>
      <c r="D62" s="44">
        <v>4.5</v>
      </c>
      <c r="E62" s="44">
        <v>4.5</v>
      </c>
      <c r="F62" s="44">
        <v>1</v>
      </c>
      <c r="G62" s="10">
        <f t="shared" si="11"/>
        <v>20.25</v>
      </c>
      <c r="H62" s="44" t="s">
        <v>11</v>
      </c>
      <c r="I62" s="39"/>
    </row>
    <row r="63" spans="1:9">
      <c r="A63" s="60"/>
      <c r="B63" s="40" t="s">
        <v>48</v>
      </c>
      <c r="C63" s="44">
        <v>4</v>
      </c>
      <c r="D63" s="44">
        <v>3</v>
      </c>
      <c r="E63" s="44">
        <v>2</v>
      </c>
      <c r="F63" s="44">
        <v>2.1</v>
      </c>
      <c r="G63" s="10">
        <f t="shared" si="11"/>
        <v>50.400000000000006</v>
      </c>
      <c r="H63" s="44" t="s">
        <v>11</v>
      </c>
      <c r="I63" s="39"/>
    </row>
    <row r="64" spans="1:9">
      <c r="A64" s="60"/>
      <c r="B64" s="40" t="s">
        <v>49</v>
      </c>
      <c r="C64" s="44">
        <v>1</v>
      </c>
      <c r="D64" s="44">
        <v>3.5</v>
      </c>
      <c r="E64" s="44">
        <v>3.5</v>
      </c>
      <c r="F64" s="44">
        <v>1</v>
      </c>
      <c r="G64" s="10">
        <f t="shared" si="11"/>
        <v>12.25</v>
      </c>
      <c r="H64" s="44" t="s">
        <v>11</v>
      </c>
      <c r="I64" s="39"/>
    </row>
    <row r="65" spans="1:9">
      <c r="A65" s="60"/>
      <c r="B65" s="40" t="s">
        <v>51</v>
      </c>
      <c r="C65" s="44">
        <v>0</v>
      </c>
      <c r="D65" s="44"/>
      <c r="E65" s="44"/>
      <c r="F65" s="44"/>
      <c r="G65" s="10">
        <v>4</v>
      </c>
      <c r="H65" s="44" t="s">
        <v>11</v>
      </c>
      <c r="I65" s="39"/>
    </row>
    <row r="66" spans="1:9">
      <c r="A66" s="60"/>
      <c r="B66" s="40" t="s">
        <v>32</v>
      </c>
      <c r="C66" s="44">
        <v>0</v>
      </c>
      <c r="D66" s="44">
        <v>1.5</v>
      </c>
      <c r="E66" s="44">
        <v>2.5</v>
      </c>
      <c r="F66" s="44">
        <v>1</v>
      </c>
      <c r="G66" s="10">
        <f t="shared" ref="G66" si="12">E66*D66*C66</f>
        <v>0</v>
      </c>
      <c r="H66" s="44" t="s">
        <v>11</v>
      </c>
      <c r="I66" s="39"/>
    </row>
    <row r="67" spans="1:9">
      <c r="A67" s="60"/>
      <c r="B67" s="48"/>
      <c r="C67" s="48"/>
      <c r="D67" s="48"/>
      <c r="E67" s="48"/>
      <c r="F67" s="48"/>
      <c r="G67" s="120">
        <f>SUM(G60:G66)</f>
        <v>136.82</v>
      </c>
      <c r="H67" s="42" t="s">
        <v>11</v>
      </c>
      <c r="I67" s="44"/>
    </row>
    <row r="68" spans="1:9" ht="20.25">
      <c r="A68" s="57">
        <v>10</v>
      </c>
      <c r="B68" s="54" t="s">
        <v>52</v>
      </c>
      <c r="C68" s="230"/>
      <c r="D68" s="231"/>
      <c r="E68" s="231"/>
      <c r="F68" s="231"/>
      <c r="G68" s="231"/>
      <c r="H68" s="232"/>
      <c r="I68" s="134"/>
    </row>
    <row r="69" spans="1:9">
      <c r="A69" s="60"/>
      <c r="B69" s="40" t="s">
        <v>45</v>
      </c>
      <c r="C69" s="44">
        <v>4</v>
      </c>
      <c r="D69" s="44">
        <v>0.3</v>
      </c>
      <c r="E69" s="44">
        <v>4</v>
      </c>
      <c r="F69" s="44">
        <v>5.6</v>
      </c>
      <c r="G69" s="10">
        <f t="shared" ref="G69:G72" si="13">F69*E69*D69*C69</f>
        <v>26.88</v>
      </c>
      <c r="H69" s="44" t="s">
        <v>11</v>
      </c>
      <c r="I69" s="39"/>
    </row>
    <row r="70" spans="1:9">
      <c r="A70" s="60"/>
      <c r="B70" s="40" t="s">
        <v>46</v>
      </c>
      <c r="C70" s="44">
        <v>8</v>
      </c>
      <c r="D70" s="44">
        <v>0.3</v>
      </c>
      <c r="E70" s="44">
        <v>4</v>
      </c>
      <c r="F70" s="44">
        <v>2.4</v>
      </c>
      <c r="G70" s="10">
        <f t="shared" si="13"/>
        <v>23.04</v>
      </c>
      <c r="H70" s="44" t="s">
        <v>11</v>
      </c>
      <c r="I70" s="39"/>
    </row>
    <row r="71" spans="1:9">
      <c r="A71" s="60"/>
      <c r="B71" s="40" t="s">
        <v>47</v>
      </c>
      <c r="C71" s="44">
        <v>1</v>
      </c>
      <c r="D71" s="44">
        <v>4.4000000000000004</v>
      </c>
      <c r="E71" s="44">
        <v>4.4000000000000004</v>
      </c>
      <c r="F71" s="44">
        <v>1</v>
      </c>
      <c r="G71" s="10">
        <f t="shared" si="13"/>
        <v>19.360000000000003</v>
      </c>
      <c r="H71" s="44" t="s">
        <v>11</v>
      </c>
      <c r="I71" s="39"/>
    </row>
    <row r="72" spans="1:9">
      <c r="A72" s="60"/>
      <c r="B72" s="40" t="s">
        <v>48</v>
      </c>
      <c r="C72" s="44">
        <v>4</v>
      </c>
      <c r="D72" s="44">
        <v>3</v>
      </c>
      <c r="E72" s="44">
        <v>1</v>
      </c>
      <c r="F72" s="44">
        <v>2.1</v>
      </c>
      <c r="G72" s="10">
        <f t="shared" si="13"/>
        <v>25.200000000000003</v>
      </c>
      <c r="H72" s="44" t="s">
        <v>11</v>
      </c>
      <c r="I72" s="39"/>
    </row>
    <row r="73" spans="1:9">
      <c r="A73" s="60"/>
      <c r="B73" s="40" t="s">
        <v>34</v>
      </c>
      <c r="C73" s="44">
        <v>1</v>
      </c>
      <c r="D73" s="44">
        <v>4</v>
      </c>
      <c r="E73" s="44">
        <v>1</v>
      </c>
      <c r="F73" s="44">
        <v>1</v>
      </c>
      <c r="G73" s="10">
        <f>C73*D73*E73*F73</f>
        <v>4</v>
      </c>
      <c r="H73" s="44" t="s">
        <v>11</v>
      </c>
      <c r="I73" s="39"/>
    </row>
    <row r="74" spans="1:9">
      <c r="A74" s="60"/>
      <c r="B74" s="40" t="s">
        <v>53</v>
      </c>
      <c r="C74" s="44">
        <v>4</v>
      </c>
      <c r="D74" s="44">
        <v>3</v>
      </c>
      <c r="E74" s="44">
        <v>2.7</v>
      </c>
      <c r="F74" s="44">
        <v>1</v>
      </c>
      <c r="G74" s="10">
        <f t="shared" ref="G74:G78" si="14">C74*D74*E74*F74</f>
        <v>32.400000000000006</v>
      </c>
      <c r="H74" s="44" t="s">
        <v>11</v>
      </c>
      <c r="I74" s="39"/>
    </row>
    <row r="75" spans="1:9">
      <c r="A75" s="60"/>
      <c r="B75" s="40" t="s">
        <v>54</v>
      </c>
      <c r="C75" s="44">
        <v>1</v>
      </c>
      <c r="D75" s="44">
        <v>10</v>
      </c>
      <c r="E75" s="44">
        <v>0.2</v>
      </c>
      <c r="F75" s="44">
        <v>1</v>
      </c>
      <c r="G75" s="10">
        <f t="shared" si="14"/>
        <v>2</v>
      </c>
      <c r="H75" s="44" t="s">
        <v>11</v>
      </c>
      <c r="I75" s="39"/>
    </row>
    <row r="76" spans="1:9">
      <c r="A76" s="60"/>
      <c r="B76" s="40" t="s">
        <v>55</v>
      </c>
      <c r="C76" s="44">
        <v>1</v>
      </c>
      <c r="D76" s="44">
        <v>10</v>
      </c>
      <c r="E76" s="44">
        <v>0.3</v>
      </c>
      <c r="F76" s="44">
        <v>1</v>
      </c>
      <c r="G76" s="10">
        <f t="shared" ref="G76" si="15">C76*D76*E76*F76</f>
        <v>3</v>
      </c>
      <c r="H76" s="44" t="s">
        <v>11</v>
      </c>
      <c r="I76" s="39"/>
    </row>
    <row r="77" spans="1:9">
      <c r="A77" s="60"/>
      <c r="B77" s="40" t="s">
        <v>30</v>
      </c>
      <c r="C77" s="44">
        <v>2</v>
      </c>
      <c r="D77" s="44">
        <v>3</v>
      </c>
      <c r="E77" s="44">
        <v>1</v>
      </c>
      <c r="F77" s="44">
        <v>1.7</v>
      </c>
      <c r="G77" s="10">
        <f t="shared" si="14"/>
        <v>10.199999999999999</v>
      </c>
      <c r="H77" s="44" t="s">
        <v>11</v>
      </c>
      <c r="I77" s="39"/>
    </row>
    <row r="78" spans="1:9">
      <c r="A78" s="60"/>
      <c r="B78" s="40" t="s">
        <v>32</v>
      </c>
      <c r="C78" s="44">
        <v>0</v>
      </c>
      <c r="D78" s="44">
        <v>1.22</v>
      </c>
      <c r="E78" s="44">
        <v>8</v>
      </c>
      <c r="F78" s="44">
        <v>1</v>
      </c>
      <c r="G78" s="10">
        <f t="shared" si="14"/>
        <v>0</v>
      </c>
      <c r="H78" s="44" t="s">
        <v>11</v>
      </c>
      <c r="I78" s="39"/>
    </row>
    <row r="79" spans="1:9">
      <c r="A79" s="60"/>
      <c r="B79" s="48"/>
      <c r="C79" s="48"/>
      <c r="D79" s="48"/>
      <c r="E79" s="48"/>
      <c r="F79" s="48"/>
      <c r="G79" s="120">
        <f>SUM(G69:G78)</f>
        <v>146.07999999999998</v>
      </c>
      <c r="H79" s="52" t="s">
        <v>11</v>
      </c>
      <c r="I79" s="39"/>
    </row>
    <row r="80" spans="1:9" ht="20.25">
      <c r="A80" s="57">
        <v>11</v>
      </c>
      <c r="B80" s="54" t="s">
        <v>56</v>
      </c>
      <c r="C80" s="230"/>
      <c r="D80" s="231"/>
      <c r="E80" s="231"/>
      <c r="F80" s="231"/>
      <c r="G80" s="231"/>
      <c r="H80" s="232"/>
      <c r="I80" s="134"/>
    </row>
    <row r="81" spans="1:9">
      <c r="A81" s="60"/>
      <c r="B81" s="40" t="s">
        <v>45</v>
      </c>
      <c r="C81" s="44">
        <v>4</v>
      </c>
      <c r="D81" s="44">
        <v>0.3</v>
      </c>
      <c r="E81" s="44">
        <v>4</v>
      </c>
      <c r="F81" s="44">
        <v>5.6</v>
      </c>
      <c r="G81" s="10">
        <f t="shared" ref="G81:G84" si="16">F81*E81*D81*C81</f>
        <v>26.88</v>
      </c>
      <c r="H81" s="44" t="s">
        <v>11</v>
      </c>
      <c r="I81" s="39"/>
    </row>
    <row r="82" spans="1:9">
      <c r="A82" s="60"/>
      <c r="B82" s="40" t="s">
        <v>46</v>
      </c>
      <c r="C82" s="44">
        <v>8</v>
      </c>
      <c r="D82" s="44">
        <v>0.3</v>
      </c>
      <c r="E82" s="44">
        <v>4</v>
      </c>
      <c r="F82" s="44">
        <v>2.4</v>
      </c>
      <c r="G82" s="10">
        <f t="shared" si="16"/>
        <v>23.04</v>
      </c>
      <c r="H82" s="44" t="s">
        <v>11</v>
      </c>
      <c r="I82" s="39"/>
    </row>
    <row r="83" spans="1:9">
      <c r="A83" s="60"/>
      <c r="B83" s="40" t="s">
        <v>47</v>
      </c>
      <c r="C83" s="44">
        <v>1</v>
      </c>
      <c r="D83" s="44">
        <v>4.4000000000000004</v>
      </c>
      <c r="E83" s="44">
        <v>4.4000000000000004</v>
      </c>
      <c r="F83" s="44">
        <v>1</v>
      </c>
      <c r="G83" s="10">
        <f t="shared" si="16"/>
        <v>19.360000000000003</v>
      </c>
      <c r="H83" s="44" t="s">
        <v>11</v>
      </c>
      <c r="I83" s="39"/>
    </row>
    <row r="84" spans="1:9">
      <c r="A84" s="60"/>
      <c r="B84" s="40" t="s">
        <v>48</v>
      </c>
      <c r="C84" s="44">
        <v>4</v>
      </c>
      <c r="D84" s="44">
        <v>3</v>
      </c>
      <c r="E84" s="44">
        <v>1</v>
      </c>
      <c r="F84" s="44">
        <v>2.1</v>
      </c>
      <c r="G84" s="10">
        <f t="shared" si="16"/>
        <v>25.200000000000003</v>
      </c>
      <c r="H84" s="44" t="s">
        <v>11</v>
      </c>
      <c r="I84" s="39"/>
    </row>
    <row r="85" spans="1:9">
      <c r="A85" s="60"/>
      <c r="B85" s="40" t="s">
        <v>57</v>
      </c>
      <c r="C85" s="44">
        <v>1</v>
      </c>
      <c r="D85" s="44">
        <v>4</v>
      </c>
      <c r="E85" s="44">
        <v>4</v>
      </c>
      <c r="F85" s="44">
        <v>1</v>
      </c>
      <c r="G85" s="10">
        <f>C85*D85*E85*F85</f>
        <v>16</v>
      </c>
      <c r="H85" s="44" t="s">
        <v>11</v>
      </c>
      <c r="I85" s="39"/>
    </row>
    <row r="86" spans="1:9">
      <c r="A86" s="60"/>
      <c r="B86" s="40" t="s">
        <v>53</v>
      </c>
      <c r="C86" s="44">
        <v>4</v>
      </c>
      <c r="D86" s="44">
        <v>3</v>
      </c>
      <c r="E86" s="44">
        <v>2.7</v>
      </c>
      <c r="F86" s="44">
        <v>1</v>
      </c>
      <c r="G86" s="10">
        <f t="shared" ref="G86:G89" si="17">C86*D86*E86*F86</f>
        <v>32.400000000000006</v>
      </c>
      <c r="H86" s="44" t="s">
        <v>11</v>
      </c>
      <c r="I86" s="39"/>
    </row>
    <row r="87" spans="1:9">
      <c r="A87" s="60"/>
      <c r="B87" s="40" t="s">
        <v>54</v>
      </c>
      <c r="C87" s="44">
        <v>1</v>
      </c>
      <c r="D87" s="44">
        <v>10</v>
      </c>
      <c r="E87" s="44">
        <v>0.2</v>
      </c>
      <c r="F87" s="44">
        <v>1</v>
      </c>
      <c r="G87" s="10">
        <f t="shared" si="17"/>
        <v>2</v>
      </c>
      <c r="H87" s="44" t="s">
        <v>11</v>
      </c>
      <c r="I87" s="39"/>
    </row>
    <row r="88" spans="1:9">
      <c r="A88" s="60"/>
      <c r="B88" s="40" t="s">
        <v>55</v>
      </c>
      <c r="C88" s="44">
        <v>1</v>
      </c>
      <c r="D88" s="44">
        <v>10</v>
      </c>
      <c r="E88" s="44">
        <v>0.3</v>
      </c>
      <c r="F88" s="44">
        <v>1</v>
      </c>
      <c r="G88" s="10">
        <f t="shared" si="17"/>
        <v>3</v>
      </c>
      <c r="H88" s="44" t="s">
        <v>11</v>
      </c>
      <c r="I88" s="39"/>
    </row>
    <row r="89" spans="1:9">
      <c r="A89" s="60"/>
      <c r="B89" s="40" t="s">
        <v>30</v>
      </c>
      <c r="C89" s="44">
        <v>2</v>
      </c>
      <c r="D89" s="44">
        <v>3</v>
      </c>
      <c r="E89" s="44">
        <v>1</v>
      </c>
      <c r="F89" s="44">
        <v>1.7</v>
      </c>
      <c r="G89" s="10">
        <f t="shared" si="17"/>
        <v>10.199999999999999</v>
      </c>
      <c r="H89" s="44" t="s">
        <v>11</v>
      </c>
      <c r="I89" s="39"/>
    </row>
    <row r="90" spans="1:9">
      <c r="A90" s="60"/>
      <c r="B90" s="40" t="s">
        <v>58</v>
      </c>
      <c r="C90" s="44">
        <v>0</v>
      </c>
      <c r="D90" s="44">
        <v>3.7</v>
      </c>
      <c r="E90" s="44">
        <v>2.2000000000000002</v>
      </c>
      <c r="F90" s="44">
        <v>1</v>
      </c>
      <c r="G90" s="10">
        <f>C90*D90*E90*F90</f>
        <v>0</v>
      </c>
      <c r="H90" s="44" t="s">
        <v>11</v>
      </c>
      <c r="I90" s="39"/>
    </row>
    <row r="91" spans="1:9">
      <c r="A91" s="60"/>
      <c r="B91" s="40" t="s">
        <v>59</v>
      </c>
      <c r="C91" s="44">
        <v>0</v>
      </c>
      <c r="D91" s="44">
        <v>4.4000000000000004</v>
      </c>
      <c r="E91" s="44">
        <v>1</v>
      </c>
      <c r="F91" s="44">
        <v>1</v>
      </c>
      <c r="G91" s="10">
        <f t="shared" ref="G91:G93" si="18">C91*D91*E91*F91</f>
        <v>0</v>
      </c>
      <c r="H91" s="44" t="s">
        <v>11</v>
      </c>
      <c r="I91" s="39"/>
    </row>
    <row r="92" spans="1:9">
      <c r="A92" s="60"/>
      <c r="B92" s="40" t="s">
        <v>28</v>
      </c>
      <c r="C92" s="44">
        <v>0</v>
      </c>
      <c r="D92" s="44">
        <v>5.4</v>
      </c>
      <c r="E92" s="44">
        <v>1</v>
      </c>
      <c r="F92" s="44">
        <v>2.2000000000000002</v>
      </c>
      <c r="G92" s="10">
        <f t="shared" si="18"/>
        <v>0</v>
      </c>
      <c r="H92" s="44" t="s">
        <v>11</v>
      </c>
      <c r="I92" s="39"/>
    </row>
    <row r="93" spans="1:9">
      <c r="A93" s="60"/>
      <c r="B93" s="40" t="s">
        <v>32</v>
      </c>
      <c r="C93" s="44">
        <v>0</v>
      </c>
      <c r="D93" s="44">
        <v>1.22</v>
      </c>
      <c r="E93" s="44">
        <v>8</v>
      </c>
      <c r="F93" s="44">
        <v>1</v>
      </c>
      <c r="G93" s="10">
        <f t="shared" si="18"/>
        <v>0</v>
      </c>
      <c r="H93" s="44" t="s">
        <v>11</v>
      </c>
      <c r="I93" s="39"/>
    </row>
    <row r="94" spans="1:9">
      <c r="A94" s="60"/>
      <c r="B94" s="48"/>
      <c r="C94" s="48"/>
      <c r="D94" s="48"/>
      <c r="E94" s="48"/>
      <c r="F94" s="48"/>
      <c r="G94" s="120">
        <f>SUM(G81:G93)</f>
        <v>158.07999999999998</v>
      </c>
      <c r="H94" s="52" t="s">
        <v>11</v>
      </c>
      <c r="I94" s="39"/>
    </row>
    <row r="95" spans="1:9" ht="20.25">
      <c r="A95" s="57">
        <v>12</v>
      </c>
      <c r="B95" s="54" t="s">
        <v>60</v>
      </c>
      <c r="C95" s="230"/>
      <c r="D95" s="231"/>
      <c r="E95" s="231"/>
      <c r="F95" s="231"/>
      <c r="G95" s="231"/>
      <c r="H95" s="232"/>
      <c r="I95" s="134"/>
    </row>
    <row r="96" spans="1:9">
      <c r="A96" s="60"/>
      <c r="B96" s="40" t="s">
        <v>61</v>
      </c>
      <c r="C96" s="44">
        <v>0</v>
      </c>
      <c r="D96" s="39">
        <v>1.1000000000000001</v>
      </c>
      <c r="E96" s="44">
        <v>1.6</v>
      </c>
      <c r="F96" s="44">
        <v>1</v>
      </c>
      <c r="G96" s="10">
        <f>C96*D96*E96*F96</f>
        <v>0</v>
      </c>
      <c r="H96" s="44" t="s">
        <v>11</v>
      </c>
      <c r="I96" s="39"/>
    </row>
    <row r="97" spans="1:9">
      <c r="A97" s="60"/>
      <c r="B97" s="40" t="s">
        <v>62</v>
      </c>
      <c r="C97" s="44">
        <v>0</v>
      </c>
      <c r="D97" s="39">
        <v>5.4</v>
      </c>
      <c r="E97" s="44">
        <v>1</v>
      </c>
      <c r="F97" s="44">
        <v>2.2000000000000002</v>
      </c>
      <c r="G97" s="10">
        <f t="shared" ref="G97:G102" si="19">C97*D97*E97*F97</f>
        <v>0</v>
      </c>
      <c r="H97" s="44" t="s">
        <v>11</v>
      </c>
      <c r="I97" s="39"/>
    </row>
    <row r="98" spans="1:9">
      <c r="A98" s="60"/>
      <c r="B98" s="40" t="s">
        <v>63</v>
      </c>
      <c r="C98" s="44">
        <v>0</v>
      </c>
      <c r="D98" s="39">
        <v>1.1000000000000001</v>
      </c>
      <c r="E98" s="44">
        <v>1.1000000000000001</v>
      </c>
      <c r="F98" s="44">
        <v>1</v>
      </c>
      <c r="G98" s="10">
        <f t="shared" si="19"/>
        <v>0</v>
      </c>
      <c r="H98" s="44" t="s">
        <v>11</v>
      </c>
      <c r="I98" s="39"/>
    </row>
    <row r="99" spans="1:9">
      <c r="A99" s="60"/>
      <c r="B99" s="40" t="s">
        <v>64</v>
      </c>
      <c r="C99" s="44">
        <v>0</v>
      </c>
      <c r="D99" s="39">
        <v>4.4000000000000004</v>
      </c>
      <c r="E99" s="44">
        <v>1</v>
      </c>
      <c r="F99" s="44">
        <v>1.5</v>
      </c>
      <c r="G99" s="10">
        <f t="shared" si="19"/>
        <v>0</v>
      </c>
      <c r="H99" s="44" t="s">
        <v>11</v>
      </c>
      <c r="I99" s="39"/>
    </row>
    <row r="100" spans="1:9">
      <c r="A100" s="60"/>
      <c r="B100" s="40" t="s">
        <v>65</v>
      </c>
      <c r="C100" s="44">
        <v>0</v>
      </c>
      <c r="D100" s="39">
        <v>19</v>
      </c>
      <c r="E100" s="44">
        <v>1</v>
      </c>
      <c r="F100" s="44">
        <v>2.1</v>
      </c>
      <c r="G100" s="10">
        <f t="shared" si="19"/>
        <v>0</v>
      </c>
      <c r="H100" s="44" t="s">
        <v>11</v>
      </c>
      <c r="I100" s="39"/>
    </row>
    <row r="101" spans="1:9">
      <c r="A101" s="60"/>
      <c r="B101" s="40" t="s">
        <v>30</v>
      </c>
      <c r="C101" s="44">
        <v>2</v>
      </c>
      <c r="D101" s="44">
        <v>2.7</v>
      </c>
      <c r="E101" s="44">
        <v>3.5</v>
      </c>
      <c r="F101" s="44">
        <v>1</v>
      </c>
      <c r="G101" s="10">
        <f t="shared" si="19"/>
        <v>18.900000000000002</v>
      </c>
      <c r="H101" s="44" t="s">
        <v>11</v>
      </c>
      <c r="I101" s="39"/>
    </row>
    <row r="102" spans="1:9">
      <c r="A102" s="60"/>
      <c r="B102" s="40" t="s">
        <v>66</v>
      </c>
      <c r="C102" s="44">
        <v>1</v>
      </c>
      <c r="D102" s="44">
        <v>3</v>
      </c>
      <c r="E102" s="44">
        <v>3</v>
      </c>
      <c r="F102" s="44">
        <v>1</v>
      </c>
      <c r="G102" s="10">
        <f t="shared" si="19"/>
        <v>9</v>
      </c>
      <c r="H102" s="44" t="s">
        <v>11</v>
      </c>
      <c r="I102" s="39"/>
    </row>
    <row r="103" spans="1:9">
      <c r="A103" s="60"/>
      <c r="B103" s="40" t="s">
        <v>67</v>
      </c>
      <c r="C103" s="47"/>
      <c r="D103" s="44"/>
      <c r="E103" s="44"/>
      <c r="F103" s="44"/>
      <c r="G103" s="10"/>
      <c r="H103" s="44" t="s">
        <v>68</v>
      </c>
      <c r="I103" s="45"/>
    </row>
    <row r="104" spans="1:9">
      <c r="A104" s="60"/>
      <c r="B104" s="48"/>
      <c r="C104" s="48"/>
      <c r="D104" s="48"/>
      <c r="E104" s="48"/>
      <c r="F104" s="48"/>
      <c r="G104" s="120">
        <f>SUM(G96:G103)</f>
        <v>27.900000000000002</v>
      </c>
      <c r="H104" s="52" t="s">
        <v>11</v>
      </c>
      <c r="I104" s="39"/>
    </row>
    <row r="105" spans="1:9" ht="20.25">
      <c r="A105" s="57">
        <v>13</v>
      </c>
      <c r="B105" s="46" t="s">
        <v>69</v>
      </c>
      <c r="C105" s="233"/>
      <c r="D105" s="234"/>
      <c r="E105" s="234"/>
      <c r="F105" s="234"/>
      <c r="G105" s="234"/>
      <c r="H105" s="235"/>
      <c r="I105" s="134"/>
    </row>
    <row r="106" spans="1:9">
      <c r="A106" s="60"/>
      <c r="B106" s="40" t="s">
        <v>70</v>
      </c>
      <c r="C106" s="44">
        <v>0</v>
      </c>
      <c r="D106" s="44">
        <v>0.8</v>
      </c>
      <c r="E106" s="44">
        <v>1</v>
      </c>
      <c r="F106" s="44">
        <v>2</v>
      </c>
      <c r="G106" s="10">
        <f>F106*E106*C106*D106</f>
        <v>0</v>
      </c>
      <c r="H106" s="44" t="s">
        <v>11</v>
      </c>
      <c r="I106" s="39"/>
    </row>
    <row r="107" spans="1:9">
      <c r="A107" s="60"/>
      <c r="B107" s="40" t="s">
        <v>70</v>
      </c>
      <c r="C107" s="44">
        <v>0</v>
      </c>
      <c r="D107" s="44">
        <v>1</v>
      </c>
      <c r="E107" s="44">
        <v>1</v>
      </c>
      <c r="F107" s="44">
        <v>2</v>
      </c>
      <c r="G107" s="10">
        <f>F107*E107*C107*D107</f>
        <v>0</v>
      </c>
      <c r="H107" s="44" t="s">
        <v>11</v>
      </c>
      <c r="I107" s="39"/>
    </row>
    <row r="108" spans="1:9">
      <c r="A108" s="60"/>
      <c r="B108" s="49"/>
      <c r="C108" s="49"/>
      <c r="D108" s="49"/>
      <c r="E108" s="49"/>
      <c r="F108" s="49"/>
      <c r="G108" s="120">
        <f>SUM(G106:G107)</f>
        <v>0</v>
      </c>
      <c r="H108" s="52" t="s">
        <v>11</v>
      </c>
      <c r="I108" s="39"/>
    </row>
    <row r="109" spans="1:9" ht="20.25">
      <c r="A109" s="57">
        <v>14</v>
      </c>
      <c r="B109" s="46" t="s">
        <v>71</v>
      </c>
      <c r="C109" s="233"/>
      <c r="D109" s="234"/>
      <c r="E109" s="234"/>
      <c r="F109" s="234"/>
      <c r="G109" s="234"/>
      <c r="H109" s="235"/>
      <c r="I109" s="134"/>
    </row>
    <row r="110" spans="1:9">
      <c r="A110" s="60"/>
      <c r="B110" s="40" t="s">
        <v>70</v>
      </c>
      <c r="C110" s="44">
        <v>0</v>
      </c>
      <c r="D110" s="44">
        <v>0.5</v>
      </c>
      <c r="E110" s="44">
        <v>0.5</v>
      </c>
      <c r="F110" s="44">
        <v>1</v>
      </c>
      <c r="G110" s="10">
        <f>F110*E110*C110*D110</f>
        <v>0</v>
      </c>
      <c r="H110" s="44" t="s">
        <v>11</v>
      </c>
      <c r="I110" s="39"/>
    </row>
    <row r="111" spans="1:9">
      <c r="A111" s="60"/>
      <c r="B111" s="40" t="s">
        <v>72</v>
      </c>
      <c r="C111" s="44">
        <v>0</v>
      </c>
      <c r="D111" s="44">
        <v>1.5</v>
      </c>
      <c r="E111" s="44">
        <v>1.7</v>
      </c>
      <c r="F111" s="44">
        <v>1</v>
      </c>
      <c r="G111" s="10">
        <f>F111*E111*C111*D111</f>
        <v>0</v>
      </c>
      <c r="H111" s="44" t="s">
        <v>11</v>
      </c>
      <c r="I111" s="39"/>
    </row>
    <row r="112" spans="1:9">
      <c r="A112" s="60"/>
      <c r="B112" s="49"/>
      <c r="C112" s="49"/>
      <c r="D112" s="49"/>
      <c r="E112" s="49"/>
      <c r="F112" s="49"/>
      <c r="G112" s="120">
        <f>SUM(G110:G111)</f>
        <v>0</v>
      </c>
      <c r="H112" s="52" t="s">
        <v>11</v>
      </c>
      <c r="I112" s="39"/>
    </row>
    <row r="113" spans="1:9" ht="20.25">
      <c r="A113" s="57">
        <v>15</v>
      </c>
      <c r="B113" s="46" t="s">
        <v>73</v>
      </c>
      <c r="C113" s="233"/>
      <c r="D113" s="234"/>
      <c r="E113" s="234"/>
      <c r="F113" s="234"/>
      <c r="G113" s="234"/>
      <c r="H113" s="235"/>
      <c r="I113" s="134"/>
    </row>
    <row r="114" spans="1:9">
      <c r="A114" s="60"/>
      <c r="B114" s="40" t="s">
        <v>74</v>
      </c>
      <c r="C114" s="44"/>
      <c r="D114" s="44"/>
      <c r="E114" s="44"/>
      <c r="F114" s="44"/>
      <c r="G114" s="10">
        <v>30</v>
      </c>
      <c r="H114" s="44" t="s">
        <v>75</v>
      </c>
      <c r="I114" s="39"/>
    </row>
    <row r="115" spans="1:9">
      <c r="A115" s="60"/>
      <c r="B115" s="40" t="s">
        <v>76</v>
      </c>
      <c r="C115" s="44"/>
      <c r="D115" s="44"/>
      <c r="E115" s="44"/>
      <c r="F115" s="44"/>
      <c r="G115" s="10">
        <v>93</v>
      </c>
      <c r="H115" s="44" t="s">
        <v>75</v>
      </c>
      <c r="I115" s="39"/>
    </row>
    <row r="116" spans="1:9">
      <c r="A116" s="60"/>
      <c r="B116" s="40" t="s">
        <v>77</v>
      </c>
      <c r="C116" s="44"/>
      <c r="D116" s="44"/>
      <c r="E116" s="44"/>
      <c r="F116" s="44"/>
      <c r="G116" s="10">
        <f>23+26</f>
        <v>49</v>
      </c>
      <c r="H116" s="44" t="s">
        <v>75</v>
      </c>
      <c r="I116" s="39"/>
    </row>
    <row r="117" spans="1:9">
      <c r="A117" s="60"/>
      <c r="B117" s="40" t="s">
        <v>78</v>
      </c>
      <c r="C117" s="44"/>
      <c r="D117" s="44"/>
      <c r="E117" s="44"/>
      <c r="F117" s="44"/>
      <c r="G117" s="10">
        <v>41</v>
      </c>
      <c r="H117" s="44" t="s">
        <v>75</v>
      </c>
      <c r="I117" s="39"/>
    </row>
    <row r="118" spans="1:9">
      <c r="A118" s="60"/>
      <c r="B118" s="40" t="s">
        <v>79</v>
      </c>
      <c r="C118" s="44"/>
      <c r="D118" s="44"/>
      <c r="E118" s="44"/>
      <c r="F118" s="44"/>
      <c r="G118" s="10">
        <v>24</v>
      </c>
      <c r="H118" s="44" t="s">
        <v>75</v>
      </c>
      <c r="I118" s="39"/>
    </row>
    <row r="119" spans="1:9">
      <c r="A119" s="60"/>
      <c r="B119" s="40" t="s">
        <v>80</v>
      </c>
      <c r="C119" s="44"/>
      <c r="D119" s="44"/>
      <c r="E119" s="44"/>
      <c r="F119" s="44"/>
      <c r="G119" s="10">
        <f>47+33</f>
        <v>80</v>
      </c>
      <c r="H119" s="44" t="s">
        <v>75</v>
      </c>
      <c r="I119" s="39"/>
    </row>
    <row r="120" spans="1:9">
      <c r="A120" s="60"/>
      <c r="B120" s="40" t="s">
        <v>81</v>
      </c>
      <c r="C120" s="44"/>
      <c r="D120" s="44"/>
      <c r="E120" s="44"/>
      <c r="F120" s="44"/>
      <c r="G120" s="10">
        <v>7</v>
      </c>
      <c r="H120" s="44" t="s">
        <v>82</v>
      </c>
      <c r="I120" s="39"/>
    </row>
    <row r="121" spans="1:9">
      <c r="A121" s="60"/>
      <c r="B121" s="40" t="s">
        <v>83</v>
      </c>
      <c r="C121" s="44"/>
      <c r="D121" s="44"/>
      <c r="E121" s="44"/>
      <c r="F121" s="44"/>
      <c r="G121" s="10">
        <v>9</v>
      </c>
      <c r="H121" s="44" t="s">
        <v>84</v>
      </c>
      <c r="I121" s="39"/>
    </row>
    <row r="122" spans="1:9">
      <c r="A122" s="60"/>
      <c r="B122" s="40" t="s">
        <v>85</v>
      </c>
      <c r="C122" s="44"/>
      <c r="D122" s="44"/>
      <c r="E122" s="44"/>
      <c r="F122" s="44"/>
      <c r="G122" s="10">
        <v>1</v>
      </c>
      <c r="H122" s="44" t="s">
        <v>84</v>
      </c>
      <c r="I122" s="39"/>
    </row>
    <row r="123" spans="1:9">
      <c r="A123" s="60"/>
      <c r="B123" s="40" t="s">
        <v>86</v>
      </c>
      <c r="C123" s="44"/>
      <c r="D123" s="44"/>
      <c r="E123" s="44"/>
      <c r="F123" s="44"/>
      <c r="G123" s="10">
        <v>0</v>
      </c>
      <c r="H123" s="44" t="s">
        <v>84</v>
      </c>
      <c r="I123" s="39"/>
    </row>
    <row r="124" spans="1:9">
      <c r="A124" s="60"/>
      <c r="B124" s="40" t="s">
        <v>87</v>
      </c>
      <c r="C124" s="44"/>
      <c r="D124" s="44"/>
      <c r="E124" s="44"/>
      <c r="F124" s="44"/>
      <c r="G124" s="10">
        <v>1</v>
      </c>
      <c r="H124" s="44" t="s">
        <v>88</v>
      </c>
      <c r="I124" s="39"/>
    </row>
    <row r="125" spans="1:9" ht="20.25">
      <c r="A125" s="57">
        <v>16</v>
      </c>
      <c r="B125" s="46" t="s">
        <v>89</v>
      </c>
      <c r="C125" s="233"/>
      <c r="D125" s="234"/>
      <c r="E125" s="234"/>
      <c r="F125" s="234"/>
      <c r="G125" s="234"/>
      <c r="H125" s="235"/>
      <c r="I125" s="134"/>
    </row>
    <row r="126" spans="1:9">
      <c r="A126" s="60"/>
      <c r="B126" s="40" t="s">
        <v>90</v>
      </c>
      <c r="C126" s="44"/>
      <c r="D126" s="44"/>
      <c r="E126" s="44"/>
      <c r="F126" s="44"/>
      <c r="G126" s="10"/>
      <c r="H126" s="44" t="s">
        <v>84</v>
      </c>
      <c r="I126" s="39"/>
    </row>
    <row r="127" spans="1:9">
      <c r="A127" s="60"/>
      <c r="B127" s="40" t="s">
        <v>91</v>
      </c>
      <c r="C127" s="44"/>
      <c r="D127" s="44"/>
      <c r="E127" s="44"/>
      <c r="F127" s="44"/>
      <c r="G127" s="10"/>
      <c r="H127" s="44" t="s">
        <v>84</v>
      </c>
      <c r="I127" s="39"/>
    </row>
    <row r="128" spans="1:9">
      <c r="A128" s="60"/>
      <c r="B128" s="40" t="s">
        <v>92</v>
      </c>
      <c r="C128" s="44"/>
      <c r="D128" s="44"/>
      <c r="E128" s="44"/>
      <c r="F128" s="44"/>
      <c r="G128" s="10"/>
      <c r="H128" s="44" t="s">
        <v>84</v>
      </c>
      <c r="I128" s="39"/>
    </row>
    <row r="129" spans="1:9">
      <c r="A129" s="60"/>
      <c r="B129" s="40" t="s">
        <v>93</v>
      </c>
      <c r="C129" s="44"/>
      <c r="D129" s="44"/>
      <c r="E129" s="44"/>
      <c r="F129" s="44"/>
      <c r="G129" s="10"/>
      <c r="H129" s="44" t="s">
        <v>84</v>
      </c>
      <c r="I129" s="39"/>
    </row>
    <row r="130" spans="1:9">
      <c r="A130" s="60"/>
      <c r="B130" s="49"/>
      <c r="C130" s="49"/>
      <c r="D130" s="49"/>
      <c r="E130" s="49"/>
      <c r="F130" s="49"/>
      <c r="G130" s="10"/>
      <c r="H130" s="44"/>
      <c r="I130" s="39"/>
    </row>
  </sheetData>
  <mergeCells count="17">
    <mergeCell ref="C2:H2"/>
    <mergeCell ref="C17:H17"/>
    <mergeCell ref="C23:H23"/>
    <mergeCell ref="C28:H28"/>
    <mergeCell ref="C35:H35"/>
    <mergeCell ref="C68:H68"/>
    <mergeCell ref="C125:H125"/>
    <mergeCell ref="C59:H59"/>
    <mergeCell ref="B22:F22"/>
    <mergeCell ref="C4:H4"/>
    <mergeCell ref="C47:H47"/>
    <mergeCell ref="C51:H51"/>
    <mergeCell ref="C109:H109"/>
    <mergeCell ref="C113:H113"/>
    <mergeCell ref="C80:H80"/>
    <mergeCell ref="C95:H95"/>
    <mergeCell ref="C105:H105"/>
  </mergeCells>
  <phoneticPr fontId="5" type="noConversion"/>
  <pageMargins left="0.28999999999999998" right="0.17" top="0.4" bottom="0.37" header="0.17" footer="0.17"/>
  <pageSetup paperSize="9" scale="5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8C126A-F9E5-4D11-97DE-3152B076A9B9}">
  <sheetPr>
    <pageSetUpPr fitToPage="1"/>
  </sheetPr>
  <dimension ref="A1:P208"/>
  <sheetViews>
    <sheetView tabSelected="1" topLeftCell="B19" zoomScaleNormal="100" zoomScaleSheetLayoutView="100" workbookViewId="0">
      <selection activeCell="F61" sqref="F61"/>
    </sheetView>
  </sheetViews>
  <sheetFormatPr defaultRowHeight="14.25"/>
  <cols>
    <col min="1" max="1" width="6.85546875" hidden="1" customWidth="1"/>
    <col min="2" max="2" width="6.85546875" style="35" customWidth="1"/>
    <col min="3" max="3" width="6" style="1" bestFit="1" customWidth="1"/>
    <col min="4" max="4" width="11.7109375" style="22" bestFit="1" customWidth="1"/>
    <col min="5" max="5" width="12.140625" customWidth="1"/>
    <col min="6" max="6" width="63.85546875" style="36" bestFit="1" customWidth="1"/>
    <col min="7" max="7" width="10.5703125" style="1" bestFit="1" customWidth="1"/>
    <col min="8" max="8" width="8.85546875" style="1" bestFit="1" customWidth="1"/>
    <col min="9" max="9" width="12.7109375" style="1" bestFit="1" customWidth="1"/>
    <col min="10" max="10" width="18.28515625" style="1" bestFit="1" customWidth="1"/>
    <col min="11" max="11" width="22.140625" hidden="1" customWidth="1"/>
    <col min="12" max="12" width="4.140625" hidden="1" customWidth="1"/>
    <col min="13" max="13" width="10.85546875" hidden="1" customWidth="1"/>
    <col min="14" max="14" width="22.140625" hidden="1" customWidth="1"/>
    <col min="15" max="15" width="14.140625" customWidth="1"/>
    <col min="16" max="16" width="11.85546875" bestFit="1" customWidth="1"/>
  </cols>
  <sheetData>
    <row r="1" spans="2:15" ht="15">
      <c r="B1" s="240" t="s">
        <v>94</v>
      </c>
      <c r="C1" s="240"/>
      <c r="D1" s="240"/>
      <c r="E1" s="240"/>
      <c r="F1" s="2" t="s">
        <v>95</v>
      </c>
      <c r="G1" s="2"/>
      <c r="H1" s="2"/>
      <c r="I1" s="2"/>
      <c r="J1" s="2"/>
      <c r="K1" s="3"/>
      <c r="N1" s="3"/>
    </row>
    <row r="2" spans="2:15" ht="15" customHeight="1">
      <c r="B2" s="240" t="s">
        <v>96</v>
      </c>
      <c r="C2" s="240"/>
      <c r="D2" s="240"/>
      <c r="E2" s="240"/>
      <c r="F2" s="2" t="s">
        <v>97</v>
      </c>
      <c r="G2" s="2"/>
      <c r="H2" s="2"/>
      <c r="I2" s="4"/>
      <c r="J2" s="4"/>
      <c r="K2" s="4"/>
      <c r="N2" s="4"/>
    </row>
    <row r="3" spans="2:15" ht="15">
      <c r="B3" s="240" t="s">
        <v>98</v>
      </c>
      <c r="C3" s="240"/>
      <c r="D3" s="240"/>
      <c r="E3" s="240"/>
      <c r="F3" s="2" t="s">
        <v>99</v>
      </c>
      <c r="G3" s="6"/>
      <c r="H3" s="6"/>
      <c r="I3" s="2"/>
      <c r="J3" s="2"/>
      <c r="K3" s="3"/>
      <c r="N3" s="3"/>
    </row>
    <row r="4" spans="2:15" ht="15" customHeight="1">
      <c r="B4" s="240" t="s">
        <v>100</v>
      </c>
      <c r="C4" s="240"/>
      <c r="D4" s="240"/>
      <c r="E4" s="240"/>
      <c r="F4" s="2" t="s">
        <v>101</v>
      </c>
      <c r="G4" s="2"/>
      <c r="H4" s="2"/>
      <c r="I4" s="4"/>
      <c r="J4" s="4"/>
      <c r="K4" s="5"/>
      <c r="N4" s="5"/>
    </row>
    <row r="5" spans="2:15" ht="15" customHeight="1">
      <c r="B5" s="240" t="s">
        <v>102</v>
      </c>
      <c r="C5" s="240"/>
      <c r="D5" s="240"/>
      <c r="E5" s="240"/>
      <c r="F5" s="2" t="s">
        <v>103</v>
      </c>
      <c r="G5"/>
      <c r="H5" s="4"/>
      <c r="I5" s="4"/>
      <c r="J5" s="4"/>
      <c r="K5" s="4"/>
      <c r="N5" s="4"/>
    </row>
    <row r="6" spans="2:15" ht="15" customHeight="1">
      <c r="B6" s="240" t="s">
        <v>104</v>
      </c>
      <c r="C6" s="240"/>
      <c r="D6" s="240"/>
      <c r="E6" s="240"/>
      <c r="F6" s="2" t="s">
        <v>105</v>
      </c>
      <c r="G6" s="4"/>
      <c r="H6" s="4"/>
      <c r="I6" s="4"/>
      <c r="J6" s="4"/>
      <c r="K6" s="5"/>
      <c r="N6" s="5"/>
    </row>
    <row r="7" spans="2:15" ht="15" customHeight="1">
      <c r="B7" s="240" t="s">
        <v>106</v>
      </c>
      <c r="C7" s="240"/>
      <c r="D7" s="240"/>
      <c r="E7" s="240"/>
      <c r="F7" s="129">
        <v>658</v>
      </c>
      <c r="G7" s="208"/>
      <c r="H7" s="4"/>
      <c r="I7" s="2"/>
      <c r="J7" s="2"/>
      <c r="K7" s="3"/>
      <c r="N7" s="3"/>
    </row>
    <row r="8" spans="2:15" ht="15" customHeight="1">
      <c r="B8" s="240" t="s">
        <v>107</v>
      </c>
      <c r="C8" s="240"/>
      <c r="D8" s="240"/>
      <c r="E8" s="240"/>
      <c r="F8" s="56" t="s">
        <v>108</v>
      </c>
      <c r="G8" s="4"/>
      <c r="H8" s="4"/>
      <c r="I8" s="4"/>
      <c r="J8" s="4"/>
      <c r="K8" s="5"/>
      <c r="N8" s="5"/>
    </row>
    <row r="9" spans="2:15" ht="15">
      <c r="B9" s="240" t="s">
        <v>109</v>
      </c>
      <c r="C9" s="240"/>
      <c r="D9" s="240"/>
      <c r="E9" s="240"/>
      <c r="F9" s="6">
        <v>68</v>
      </c>
      <c r="G9" s="4"/>
      <c r="H9" s="4"/>
      <c r="I9" s="2"/>
      <c r="J9" s="2"/>
      <c r="K9" s="3"/>
      <c r="N9" s="3"/>
    </row>
    <row r="10" spans="2:15" ht="15" customHeight="1">
      <c r="B10" s="240" t="s">
        <v>110</v>
      </c>
      <c r="C10" s="240"/>
      <c r="D10" s="240"/>
      <c r="E10" s="240"/>
      <c r="F10" t="s">
        <v>111</v>
      </c>
      <c r="G10" s="4"/>
      <c r="H10" s="4"/>
      <c r="I10" s="2"/>
      <c r="J10" s="2"/>
      <c r="K10" s="3"/>
      <c r="N10" s="3"/>
    </row>
    <row r="11" spans="2:15" ht="15">
      <c r="B11" s="243" t="s">
        <v>112</v>
      </c>
      <c r="C11" s="245" t="s">
        <v>113</v>
      </c>
      <c r="D11" s="246" t="s">
        <v>114</v>
      </c>
      <c r="E11" s="211" t="s">
        <v>115</v>
      </c>
      <c r="F11" s="241" t="s">
        <v>116</v>
      </c>
      <c r="G11" s="242" t="s">
        <v>117</v>
      </c>
      <c r="H11" s="243" t="s">
        <v>7</v>
      </c>
      <c r="I11" s="214" t="s">
        <v>118</v>
      </c>
      <c r="J11" s="214" t="s">
        <v>119</v>
      </c>
      <c r="O11" s="214" t="s">
        <v>119</v>
      </c>
    </row>
    <row r="12" spans="2:15" ht="15">
      <c r="B12" s="243"/>
      <c r="C12" s="245"/>
      <c r="D12" s="246"/>
      <c r="E12" s="211" t="s">
        <v>120</v>
      </c>
      <c r="F12" s="241"/>
      <c r="G12" s="242"/>
      <c r="H12" s="243"/>
      <c r="I12" s="215" t="s">
        <v>121</v>
      </c>
      <c r="J12" s="215" t="s">
        <v>121</v>
      </c>
      <c r="O12" s="215" t="s">
        <v>122</v>
      </c>
    </row>
    <row r="13" spans="2:15" s="16" customFormat="1" ht="20.100000000000001" customHeight="1">
      <c r="B13" s="211" t="s">
        <v>123</v>
      </c>
      <c r="C13" s="212">
        <v>1</v>
      </c>
      <c r="D13" s="216"/>
      <c r="E13" s="217"/>
      <c r="F13" s="135" t="s">
        <v>9</v>
      </c>
      <c r="G13" s="136">
        <f>ESTIMATIONS!G3</f>
        <v>500</v>
      </c>
      <c r="H13" s="211" t="s">
        <v>124</v>
      </c>
      <c r="I13" s="137">
        <f>IF(G13&gt;=1, J13/G13, 0)</f>
        <v>14</v>
      </c>
      <c r="J13" s="137">
        <f>J14</f>
        <v>7000</v>
      </c>
      <c r="K13" s="204"/>
      <c r="L13" s="205"/>
      <c r="M13" s="205"/>
      <c r="O13" s="137">
        <f>J13/68</f>
        <v>102.94117647058823</v>
      </c>
    </row>
    <row r="14" spans="2:15" ht="15" hidden="1">
      <c r="B14" s="66"/>
      <c r="C14" s="100">
        <v>1.01</v>
      </c>
      <c r="D14" s="32">
        <v>0.04</v>
      </c>
      <c r="E14" s="33"/>
      <c r="F14" s="8" t="s">
        <v>125</v>
      </c>
      <c r="G14" s="26">
        <f>G13*D14</f>
        <v>20</v>
      </c>
      <c r="H14" s="18" t="s">
        <v>126</v>
      </c>
      <c r="I14" s="30">
        <v>350</v>
      </c>
      <c r="J14" s="30">
        <f>I14*G14</f>
        <v>7000</v>
      </c>
      <c r="K14" t="s">
        <v>127</v>
      </c>
      <c r="L14" s="13"/>
      <c r="M14" s="13">
        <f>G14+G17+G20+G36+G44+G59+G67+G80+G94+G88+G28+G199</f>
        <v>385.88787500000007</v>
      </c>
      <c r="N14" s="13">
        <f>J14+J17+J20+J36+J44+J59+J67+J80+J94+J88</f>
        <v>133660.75625000001</v>
      </c>
      <c r="O14" s="137">
        <f t="shared" ref="O14:O77" si="0">J14/68</f>
        <v>102.94117647058823</v>
      </c>
    </row>
    <row r="15" spans="2:15" ht="15" hidden="1">
      <c r="B15" s="65" t="s">
        <v>128</v>
      </c>
      <c r="C15" s="100"/>
      <c r="D15" s="32"/>
      <c r="E15" s="33"/>
      <c r="F15" s="70"/>
      <c r="G15" s="26"/>
      <c r="H15" s="18"/>
      <c r="I15" s="17"/>
      <c r="J15" s="17"/>
      <c r="K15" t="s">
        <v>129</v>
      </c>
      <c r="M15" s="132">
        <f>G32+G39+G62+G76+G84</f>
        <v>16.013579500000002</v>
      </c>
      <c r="O15" s="137">
        <f t="shared" si="0"/>
        <v>0</v>
      </c>
    </row>
    <row r="16" spans="2:15" s="16" customFormat="1" ht="20.100000000000001" customHeight="1">
      <c r="B16" s="211" t="s">
        <v>130</v>
      </c>
      <c r="C16" s="212">
        <v>2</v>
      </c>
      <c r="D16" s="216"/>
      <c r="E16" s="217"/>
      <c r="F16" s="135" t="str">
        <f>ESTIMATIONS!B4</f>
        <v>EXCAVATION</v>
      </c>
      <c r="G16" s="136">
        <f>ESTIMATIONS!G16</f>
        <v>90.88</v>
      </c>
      <c r="H16" s="211" t="s">
        <v>131</v>
      </c>
      <c r="I16" s="218">
        <f>IF(G16&gt;=1, J16/G16, 0)</f>
        <v>175</v>
      </c>
      <c r="J16" s="218">
        <f>SUM(J17)</f>
        <v>15904</v>
      </c>
      <c r="K16" t="s">
        <v>132</v>
      </c>
      <c r="L16"/>
      <c r="M16" s="132">
        <f>G25+G33+G41+G64+G85+G77</f>
        <v>14338.557600000002</v>
      </c>
      <c r="O16" s="137">
        <f t="shared" si="0"/>
        <v>233.88235294117646</v>
      </c>
    </row>
    <row r="17" spans="2:16" ht="15" hidden="1">
      <c r="B17" s="79"/>
      <c r="C17" s="126">
        <v>2.0099999999999998</v>
      </c>
      <c r="D17" s="80">
        <v>0.5</v>
      </c>
      <c r="E17" s="81"/>
      <c r="F17" s="82" t="s">
        <v>133</v>
      </c>
      <c r="G17" s="26">
        <f>D17*G16</f>
        <v>45.44</v>
      </c>
      <c r="H17" s="30" t="s">
        <v>126</v>
      </c>
      <c r="I17" s="30">
        <v>350</v>
      </c>
      <c r="J17" s="30">
        <f>I17*G17</f>
        <v>15904</v>
      </c>
      <c r="K17" t="s">
        <v>134</v>
      </c>
      <c r="M17" s="206">
        <f>G26+G34+G42+G65+G78+G86</f>
        <v>5153.5348000000013</v>
      </c>
      <c r="O17" s="137">
        <f t="shared" si="0"/>
        <v>233.88235294117646</v>
      </c>
    </row>
    <row r="18" spans="2:16" ht="15" hidden="1">
      <c r="B18" s="64" t="s">
        <v>135</v>
      </c>
      <c r="C18" s="127"/>
      <c r="D18" s="80"/>
      <c r="E18" s="81"/>
      <c r="F18" s="82"/>
      <c r="G18" s="30"/>
      <c r="H18" s="30"/>
      <c r="I18" s="30"/>
      <c r="J18" s="30"/>
      <c r="K18" t="s">
        <v>136</v>
      </c>
      <c r="M18" s="206">
        <f>G35+G43+G58+G66+G79+G87+G93</f>
        <v>87.417625000000015</v>
      </c>
      <c r="N18" s="206">
        <f>J35+J43+J58+J66+J79+J87+J93</f>
        <v>87417.624999999985</v>
      </c>
      <c r="O18" s="137">
        <f t="shared" si="0"/>
        <v>0</v>
      </c>
    </row>
    <row r="19" spans="2:16" ht="20.100000000000001" customHeight="1">
      <c r="B19" s="211" t="s">
        <v>137</v>
      </c>
      <c r="C19" s="212">
        <v>3</v>
      </c>
      <c r="D19" s="216"/>
      <c r="E19" s="219"/>
      <c r="F19" s="138" t="str">
        <f>ESTIMATIONS!B17</f>
        <v>FILLING AND COMPATION</v>
      </c>
      <c r="G19" s="136">
        <f>ESTIMATIONS!G22</f>
        <v>79.28</v>
      </c>
      <c r="H19" s="211" t="s">
        <v>131</v>
      </c>
      <c r="I19" s="218">
        <f>IF(G19&gt;=1, J19/G19, 0)</f>
        <v>525</v>
      </c>
      <c r="J19" s="218">
        <f>SUM(J20:J20)</f>
        <v>41622</v>
      </c>
      <c r="K19" t="s">
        <v>138</v>
      </c>
      <c r="M19" s="132">
        <f>G40+G63</f>
        <v>23.002955000000004</v>
      </c>
      <c r="N19" s="132">
        <f>J40+J63</f>
        <v>18402.364000000001</v>
      </c>
      <c r="O19" s="137">
        <f t="shared" si="0"/>
        <v>612.08823529411768</v>
      </c>
    </row>
    <row r="20" spans="2:16" ht="15" hidden="1">
      <c r="B20" s="66"/>
      <c r="C20" s="100">
        <v>3.01</v>
      </c>
      <c r="D20" s="32">
        <v>1.5</v>
      </c>
      <c r="E20" s="21"/>
      <c r="F20" s="8" t="s">
        <v>125</v>
      </c>
      <c r="G20" s="26">
        <f>SUM(D20*G19)</f>
        <v>118.92</v>
      </c>
      <c r="H20" s="18" t="s">
        <v>126</v>
      </c>
      <c r="I20" s="30">
        <v>350</v>
      </c>
      <c r="J20" s="30">
        <f>I20*G20</f>
        <v>41622</v>
      </c>
      <c r="K20" t="s">
        <v>139</v>
      </c>
      <c r="N20" s="132">
        <f>J150</f>
        <v>26214.225549999901</v>
      </c>
      <c r="O20" s="137">
        <f t="shared" si="0"/>
        <v>612.08823529411768</v>
      </c>
    </row>
    <row r="21" spans="2:16" ht="15" hidden="1">
      <c r="B21" s="85" t="s">
        <v>140</v>
      </c>
      <c r="C21" s="100"/>
      <c r="D21" s="23"/>
      <c r="E21" s="21"/>
      <c r="F21" s="8"/>
      <c r="G21" s="26"/>
      <c r="H21" s="18"/>
      <c r="I21" s="17"/>
      <c r="J21" s="17"/>
      <c r="K21" s="16"/>
      <c r="L21" s="16"/>
      <c r="M21" s="16"/>
      <c r="N21" s="16"/>
      <c r="O21" s="137">
        <f t="shared" si="0"/>
        <v>0</v>
      </c>
      <c r="P21" s="16"/>
    </row>
    <row r="22" spans="2:16" s="16" customFormat="1" ht="20.100000000000001" hidden="1" customHeight="1">
      <c r="B22" s="211" t="s">
        <v>141</v>
      </c>
      <c r="C22" s="212">
        <v>4</v>
      </c>
      <c r="D22" s="216"/>
      <c r="E22" s="217"/>
      <c r="F22" s="139" t="s">
        <v>142</v>
      </c>
      <c r="G22" s="136">
        <f>ESTIMATIONS!G27</f>
        <v>0</v>
      </c>
      <c r="H22" s="211" t="s">
        <v>131</v>
      </c>
      <c r="I22" s="218">
        <f>IF(G22&gt;=1, J22/G22, 0)</f>
        <v>0</v>
      </c>
      <c r="J22" s="218">
        <f>SUM(J23:J28)</f>
        <v>0</v>
      </c>
      <c r="K22"/>
      <c r="L22"/>
      <c r="M22"/>
      <c r="N22"/>
      <c r="O22" s="137">
        <f t="shared" si="0"/>
        <v>0</v>
      </c>
      <c r="P22"/>
    </row>
    <row r="23" spans="2:16" ht="15" hidden="1">
      <c r="B23" s="64"/>
      <c r="C23" s="100">
        <v>4.01</v>
      </c>
      <c r="D23" s="33">
        <v>1.1000000000000001</v>
      </c>
      <c r="E23" s="21"/>
      <c r="F23" s="8" t="s">
        <v>143</v>
      </c>
      <c r="G23" s="31">
        <f>G22*D23</f>
        <v>0</v>
      </c>
      <c r="H23" s="18" t="s">
        <v>144</v>
      </c>
      <c r="I23" s="30">
        <v>500</v>
      </c>
      <c r="J23" s="30">
        <f t="shared" ref="J23:J28" si="1">I23*G23</f>
        <v>0</v>
      </c>
      <c r="O23" s="137">
        <f t="shared" si="0"/>
        <v>0</v>
      </c>
    </row>
    <row r="24" spans="2:16" ht="15" hidden="1">
      <c r="B24" s="64"/>
      <c r="C24" s="100">
        <v>4.0199999999999996</v>
      </c>
      <c r="D24" s="33">
        <f>0.35*1.08</f>
        <v>0.378</v>
      </c>
      <c r="E24" s="21"/>
      <c r="F24" s="8" t="s">
        <v>145</v>
      </c>
      <c r="G24" s="31">
        <f>G22*D24</f>
        <v>0</v>
      </c>
      <c r="H24" s="18" t="s">
        <v>144</v>
      </c>
      <c r="I24" s="30">
        <v>800</v>
      </c>
      <c r="J24" s="30">
        <f t="shared" si="1"/>
        <v>0</v>
      </c>
      <c r="N24" s="132"/>
      <c r="O24" s="137">
        <f t="shared" si="0"/>
        <v>0</v>
      </c>
    </row>
    <row r="25" spans="2:16" ht="15" hidden="1">
      <c r="B25" s="64"/>
      <c r="C25" s="100">
        <v>4.03</v>
      </c>
      <c r="D25" s="33">
        <f>0.35*260</f>
        <v>91</v>
      </c>
      <c r="E25" s="21"/>
      <c r="F25" s="8" t="s">
        <v>132</v>
      </c>
      <c r="G25" s="31">
        <f>G22*D25</f>
        <v>0</v>
      </c>
      <c r="H25" s="18" t="s">
        <v>146</v>
      </c>
      <c r="I25" s="30">
        <v>6</v>
      </c>
      <c r="J25" s="30">
        <f t="shared" si="1"/>
        <v>0</v>
      </c>
      <c r="N25" s="132"/>
      <c r="O25" s="137">
        <f t="shared" si="0"/>
        <v>0</v>
      </c>
    </row>
    <row r="26" spans="2:16" ht="15" hidden="1">
      <c r="B26" s="64"/>
      <c r="C26" s="100">
        <v>4.04</v>
      </c>
      <c r="D26" s="33">
        <f>0.35*230</f>
        <v>80.5</v>
      </c>
      <c r="E26" s="21"/>
      <c r="F26" s="8" t="s">
        <v>134</v>
      </c>
      <c r="G26" s="31">
        <f>G22*D26</f>
        <v>0</v>
      </c>
      <c r="H26" s="18" t="s">
        <v>147</v>
      </c>
      <c r="I26" s="30">
        <v>0</v>
      </c>
      <c r="J26" s="30">
        <f t="shared" si="1"/>
        <v>0</v>
      </c>
      <c r="O26" s="137">
        <f t="shared" si="0"/>
        <v>0</v>
      </c>
    </row>
    <row r="27" spans="2:16" ht="15" hidden="1">
      <c r="B27" s="64"/>
      <c r="C27" s="100">
        <v>4.05</v>
      </c>
      <c r="D27" s="33">
        <v>0.5</v>
      </c>
      <c r="E27" s="21"/>
      <c r="F27" s="8" t="s">
        <v>148</v>
      </c>
      <c r="G27" s="31">
        <f>G22*D27</f>
        <v>0</v>
      </c>
      <c r="H27" s="18" t="s">
        <v>126</v>
      </c>
      <c r="I27" s="30">
        <v>1000</v>
      </c>
      <c r="J27" s="30">
        <f t="shared" si="1"/>
        <v>0</v>
      </c>
      <c r="M27" s="132"/>
      <c r="N27" s="132"/>
      <c r="O27" s="137">
        <f t="shared" si="0"/>
        <v>0</v>
      </c>
    </row>
    <row r="28" spans="2:16" ht="15" hidden="1">
      <c r="B28" s="64"/>
      <c r="C28" s="100">
        <v>4.0599999999999996</v>
      </c>
      <c r="D28" s="33">
        <v>1</v>
      </c>
      <c r="E28" s="21"/>
      <c r="F28" s="8" t="s">
        <v>125</v>
      </c>
      <c r="G28" s="31">
        <f>G22*D28</f>
        <v>0</v>
      </c>
      <c r="H28" s="18" t="s">
        <v>126</v>
      </c>
      <c r="I28" s="30">
        <v>350</v>
      </c>
      <c r="J28" s="30">
        <f t="shared" si="1"/>
        <v>0</v>
      </c>
      <c r="O28" s="137">
        <f t="shared" si="0"/>
        <v>0</v>
      </c>
    </row>
    <row r="29" spans="2:16" ht="15" hidden="1">
      <c r="B29" s="64" t="s">
        <v>149</v>
      </c>
      <c r="C29" s="127"/>
      <c r="D29" s="33"/>
      <c r="E29" s="21"/>
      <c r="F29" s="8"/>
      <c r="G29" s="31"/>
      <c r="H29" s="18"/>
      <c r="I29" s="30"/>
      <c r="J29" s="30"/>
      <c r="O29" s="137">
        <f t="shared" si="0"/>
        <v>0</v>
      </c>
    </row>
    <row r="30" spans="2:16" ht="20.100000000000001" customHeight="1">
      <c r="B30" s="211" t="s">
        <v>150</v>
      </c>
      <c r="C30" s="212">
        <v>5</v>
      </c>
      <c r="D30" s="216"/>
      <c r="E30" s="219"/>
      <c r="F30" s="139" t="s">
        <v>151</v>
      </c>
      <c r="G30" s="140">
        <f>ESTIMATIONS!G34</f>
        <v>9.6210000000000022</v>
      </c>
      <c r="H30" s="211" t="s">
        <v>131</v>
      </c>
      <c r="I30" s="137">
        <f>IF(G30&gt;=1, J30/G30, 0)</f>
        <v>3811</v>
      </c>
      <c r="J30" s="137">
        <f>SUM(J31:J36)</f>
        <v>36665.631000000008</v>
      </c>
      <c r="O30" s="137">
        <f t="shared" si="0"/>
        <v>539.20045588235303</v>
      </c>
    </row>
    <row r="31" spans="2:16" ht="15" hidden="1">
      <c r="B31" s="66"/>
      <c r="C31" s="100">
        <v>5.01</v>
      </c>
      <c r="D31" s="29">
        <v>520</v>
      </c>
      <c r="E31" s="21"/>
      <c r="F31" s="8" t="s">
        <v>152</v>
      </c>
      <c r="G31" s="26">
        <f>SUM(D31*G30)</f>
        <v>5002.920000000001</v>
      </c>
      <c r="H31" s="18" t="s">
        <v>153</v>
      </c>
      <c r="I31" s="30">
        <v>3.5</v>
      </c>
      <c r="J31" s="30">
        <f t="shared" ref="J31:J36" si="2">I31*G31</f>
        <v>17510.220000000005</v>
      </c>
      <c r="O31" s="137">
        <f t="shared" si="0"/>
        <v>257.5032352941177</v>
      </c>
    </row>
    <row r="32" spans="2:16" ht="15" hidden="1">
      <c r="B32" s="66"/>
      <c r="C32" s="100">
        <v>5.0199999999999996</v>
      </c>
      <c r="D32" s="29">
        <v>0.27</v>
      </c>
      <c r="E32" s="21"/>
      <c r="F32" s="8" t="s">
        <v>145</v>
      </c>
      <c r="G32" s="26">
        <f>SUM(D32*G30)</f>
        <v>2.5976700000000008</v>
      </c>
      <c r="H32" s="18" t="s">
        <v>144</v>
      </c>
      <c r="I32" s="30">
        <v>800</v>
      </c>
      <c r="J32" s="30">
        <f t="shared" si="2"/>
        <v>2078.1360000000004</v>
      </c>
      <c r="O32" s="137">
        <f t="shared" si="0"/>
        <v>30.56082352941177</v>
      </c>
    </row>
    <row r="33" spans="2:15" ht="15" hidden="1">
      <c r="B33" s="66"/>
      <c r="C33" s="100">
        <v>5.03</v>
      </c>
      <c r="D33" s="29">
        <v>65</v>
      </c>
      <c r="E33" s="21"/>
      <c r="F33" s="8" t="s">
        <v>132</v>
      </c>
      <c r="G33" s="26">
        <f>SUM(D33*G30)</f>
        <v>625.36500000000012</v>
      </c>
      <c r="H33" s="18" t="s">
        <v>146</v>
      </c>
      <c r="I33" s="30">
        <v>6</v>
      </c>
      <c r="J33" s="30">
        <f t="shared" si="2"/>
        <v>3752.1900000000005</v>
      </c>
      <c r="O33" s="137">
        <f t="shared" si="0"/>
        <v>55.17926470588236</v>
      </c>
    </row>
    <row r="34" spans="2:15" ht="15" hidden="1">
      <c r="B34" s="66"/>
      <c r="C34" s="100">
        <v>5.04</v>
      </c>
      <c r="D34" s="29">
        <v>57.5</v>
      </c>
      <c r="E34" s="21"/>
      <c r="F34" s="8" t="s">
        <v>134</v>
      </c>
      <c r="G34" s="26">
        <f>SUM(D34*G30)</f>
        <v>553.2075000000001</v>
      </c>
      <c r="H34" s="18" t="s">
        <v>147</v>
      </c>
      <c r="I34" s="30">
        <v>0</v>
      </c>
      <c r="J34" s="30">
        <f t="shared" si="2"/>
        <v>0</v>
      </c>
      <c r="O34" s="137">
        <f t="shared" si="0"/>
        <v>0</v>
      </c>
    </row>
    <row r="35" spans="2:15" ht="15" hidden="1">
      <c r="B35" s="66"/>
      <c r="C35" s="100">
        <v>5.05</v>
      </c>
      <c r="D35" s="29">
        <v>0.65</v>
      </c>
      <c r="E35" s="21"/>
      <c r="F35" s="8" t="s">
        <v>148</v>
      </c>
      <c r="G35" s="26">
        <f>SUM(D35*G30)</f>
        <v>6.2536500000000013</v>
      </c>
      <c r="H35" s="18" t="s">
        <v>126</v>
      </c>
      <c r="I35" s="30">
        <v>1000</v>
      </c>
      <c r="J35" s="30">
        <f t="shared" si="2"/>
        <v>6253.6500000000015</v>
      </c>
      <c r="O35" s="137">
        <f t="shared" si="0"/>
        <v>91.965441176470605</v>
      </c>
    </row>
    <row r="36" spans="2:15" ht="15" hidden="1">
      <c r="B36" s="66"/>
      <c r="C36" s="100">
        <v>5.0599999999999996</v>
      </c>
      <c r="D36" s="29">
        <v>2.1</v>
      </c>
      <c r="E36" s="21"/>
      <c r="F36" s="8" t="s">
        <v>125</v>
      </c>
      <c r="G36" s="26">
        <f>SUM(D36*G30)</f>
        <v>20.204100000000004</v>
      </c>
      <c r="H36" s="18" t="s">
        <v>126</v>
      </c>
      <c r="I36" s="30">
        <v>350</v>
      </c>
      <c r="J36" s="30">
        <f t="shared" si="2"/>
        <v>7071.4350000000013</v>
      </c>
      <c r="O36" s="137">
        <f t="shared" si="0"/>
        <v>103.99169117647061</v>
      </c>
    </row>
    <row r="37" spans="2:15" ht="15" hidden="1">
      <c r="B37" s="65" t="s">
        <v>154</v>
      </c>
      <c r="C37" s="100"/>
      <c r="D37" s="32"/>
      <c r="E37" s="21"/>
      <c r="F37" s="8"/>
      <c r="G37" s="26"/>
      <c r="H37" s="18"/>
      <c r="I37" s="17"/>
      <c r="J37" s="17"/>
      <c r="O37" s="137">
        <f t="shared" si="0"/>
        <v>0</v>
      </c>
    </row>
    <row r="38" spans="2:15" s="16" customFormat="1" ht="20.100000000000001" customHeight="1">
      <c r="B38" s="211" t="s">
        <v>155</v>
      </c>
      <c r="C38" s="212">
        <v>6</v>
      </c>
      <c r="D38" s="141"/>
      <c r="E38" s="142"/>
      <c r="F38" s="139" t="s">
        <v>156</v>
      </c>
      <c r="G38" s="220">
        <f>ESTIMATIONS!G46</f>
        <v>5.5335000000000001</v>
      </c>
      <c r="H38" s="211" t="s">
        <v>131</v>
      </c>
      <c r="I38" s="218">
        <f>IF(G38&gt;=1, J38/G38, 0)</f>
        <v>4883.5</v>
      </c>
      <c r="J38" s="137">
        <f>SUM(J39:J44)</f>
        <v>27022.847250000003</v>
      </c>
      <c r="O38" s="137">
        <f t="shared" si="0"/>
        <v>397.39481250000006</v>
      </c>
    </row>
    <row r="39" spans="2:15" ht="15.75" hidden="1">
      <c r="B39" s="66"/>
      <c r="C39" s="100">
        <v>6.01</v>
      </c>
      <c r="D39" s="29">
        <v>0.46500000000000002</v>
      </c>
      <c r="E39" s="221"/>
      <c r="F39" s="8" t="s">
        <v>145</v>
      </c>
      <c r="G39" s="26">
        <f>SUM(D39*G38)</f>
        <v>2.5730775000000001</v>
      </c>
      <c r="H39" s="18" t="s">
        <v>144</v>
      </c>
      <c r="I39" s="30">
        <v>800</v>
      </c>
      <c r="J39" s="30">
        <f>I39*G39</f>
        <v>2058.462</v>
      </c>
      <c r="O39" s="137">
        <f t="shared" si="0"/>
        <v>30.2715</v>
      </c>
    </row>
    <row r="40" spans="2:15" ht="15" hidden="1">
      <c r="B40" s="66"/>
      <c r="C40" s="100">
        <v>6.02</v>
      </c>
      <c r="D40" s="29">
        <v>0.93</v>
      </c>
      <c r="E40" s="21"/>
      <c r="F40" s="8" t="s">
        <v>157</v>
      </c>
      <c r="G40" s="26">
        <f>SUM(D40*G38)</f>
        <v>5.1461550000000003</v>
      </c>
      <c r="H40" s="18" t="s">
        <v>144</v>
      </c>
      <c r="I40" s="30">
        <v>800</v>
      </c>
      <c r="J40" s="30">
        <f t="shared" ref="J40:J44" si="3">I40*G40</f>
        <v>4116.924</v>
      </c>
      <c r="O40" s="137">
        <f t="shared" si="0"/>
        <v>60.542999999999999</v>
      </c>
    </row>
    <row r="41" spans="2:15" ht="15" hidden="1">
      <c r="B41" s="66"/>
      <c r="C41" s="100">
        <v>6.03</v>
      </c>
      <c r="D41" s="29">
        <v>330</v>
      </c>
      <c r="E41" s="21"/>
      <c r="F41" s="8" t="s">
        <v>132</v>
      </c>
      <c r="G41" s="26">
        <f>SUM(D41*G38)</f>
        <v>1826.0550000000001</v>
      </c>
      <c r="H41" s="18" t="s">
        <v>146</v>
      </c>
      <c r="I41" s="30">
        <v>6</v>
      </c>
      <c r="J41" s="30">
        <f t="shared" si="3"/>
        <v>10956.33</v>
      </c>
      <c r="O41" s="137">
        <f t="shared" si="0"/>
        <v>161.1225</v>
      </c>
    </row>
    <row r="42" spans="2:15" ht="15" hidden="1">
      <c r="B42" s="66"/>
      <c r="C42" s="100">
        <v>6.04</v>
      </c>
      <c r="D42" s="29">
        <v>145</v>
      </c>
      <c r="E42" s="21"/>
      <c r="F42" s="8" t="s">
        <v>134</v>
      </c>
      <c r="G42" s="26">
        <f>SUM(D42*G38)</f>
        <v>802.35749999999996</v>
      </c>
      <c r="H42" s="18" t="s">
        <v>147</v>
      </c>
      <c r="I42" s="30">
        <v>0</v>
      </c>
      <c r="J42" s="30">
        <f t="shared" si="3"/>
        <v>0</v>
      </c>
      <c r="O42" s="137">
        <f t="shared" si="0"/>
        <v>0</v>
      </c>
    </row>
    <row r="43" spans="2:15" ht="15" hidden="1">
      <c r="B43" s="66"/>
      <c r="C43" s="100">
        <v>6.05</v>
      </c>
      <c r="D43" s="29">
        <v>0.65</v>
      </c>
      <c r="E43" s="21"/>
      <c r="F43" s="8" t="s">
        <v>148</v>
      </c>
      <c r="G43" s="26">
        <f>SUM(D43*G38)</f>
        <v>3.5967750000000001</v>
      </c>
      <c r="H43" s="18" t="s">
        <v>126</v>
      </c>
      <c r="I43" s="30">
        <v>1000</v>
      </c>
      <c r="J43" s="30">
        <f t="shared" si="3"/>
        <v>3596.7750000000001</v>
      </c>
      <c r="O43" s="137">
        <f t="shared" si="0"/>
        <v>52.893750000000004</v>
      </c>
    </row>
    <row r="44" spans="2:15" ht="15" hidden="1">
      <c r="B44" s="66"/>
      <c r="C44" s="100">
        <v>6.06</v>
      </c>
      <c r="D44" s="29">
        <v>3.25</v>
      </c>
      <c r="E44" s="21"/>
      <c r="F44" s="8" t="s">
        <v>125</v>
      </c>
      <c r="G44" s="26">
        <f>SUM(D44*G38)</f>
        <v>17.983875000000001</v>
      </c>
      <c r="H44" s="18" t="s">
        <v>126</v>
      </c>
      <c r="I44" s="30">
        <v>350</v>
      </c>
      <c r="J44" s="30">
        <f t="shared" si="3"/>
        <v>6294.3562500000007</v>
      </c>
      <c r="O44" s="137">
        <f t="shared" si="0"/>
        <v>92.564062500000006</v>
      </c>
    </row>
    <row r="45" spans="2:15" ht="15" hidden="1">
      <c r="B45" s="65" t="s">
        <v>158</v>
      </c>
      <c r="C45" s="100"/>
      <c r="D45" s="32"/>
      <c r="E45" s="21"/>
      <c r="F45" s="8"/>
      <c r="G45" s="26"/>
      <c r="H45" s="18"/>
      <c r="I45" s="26"/>
      <c r="J45" s="26"/>
      <c r="O45" s="137">
        <f t="shared" si="0"/>
        <v>0</v>
      </c>
    </row>
    <row r="46" spans="2:15" s="16" customFormat="1" ht="20.100000000000001" customHeight="1">
      <c r="B46" s="143" t="s">
        <v>159</v>
      </c>
      <c r="C46" s="212">
        <v>7</v>
      </c>
      <c r="D46" s="222"/>
      <c r="E46" s="223"/>
      <c r="F46" s="139" t="s">
        <v>160</v>
      </c>
      <c r="G46" s="137">
        <f>SUM(G47:G54)</f>
        <v>2471.2999999999997</v>
      </c>
      <c r="H46" s="211" t="s">
        <v>146</v>
      </c>
      <c r="I46" s="137">
        <f>IF(G46&gt;=1, J46/G46, 0)</f>
        <v>76.960824262533905</v>
      </c>
      <c r="J46" s="137">
        <f>SUM(J47:J59)</f>
        <v>190193.285</v>
      </c>
      <c r="O46" s="137">
        <f t="shared" si="0"/>
        <v>2796.9600735294116</v>
      </c>
    </row>
    <row r="47" spans="2:15" ht="15.75" hidden="1">
      <c r="B47" s="93"/>
      <c r="C47" s="100">
        <v>7.01</v>
      </c>
      <c r="D47" s="29">
        <v>1</v>
      </c>
      <c r="E47" s="21"/>
      <c r="F47" s="8" t="s">
        <v>161</v>
      </c>
      <c r="G47" s="26">
        <v>1300</v>
      </c>
      <c r="H47" s="18" t="s">
        <v>146</v>
      </c>
      <c r="I47" s="30">
        <v>55</v>
      </c>
      <c r="J47" s="30">
        <f t="shared" ref="J47:J59" si="4">I47*G47</f>
        <v>71500</v>
      </c>
      <c r="O47" s="137">
        <f t="shared" si="0"/>
        <v>1051.4705882352941</v>
      </c>
    </row>
    <row r="48" spans="2:15" ht="15.75" hidden="1">
      <c r="B48" s="93"/>
      <c r="C48" s="100">
        <f>C47+0.01</f>
        <v>7.02</v>
      </c>
      <c r="D48" s="29">
        <v>1</v>
      </c>
      <c r="E48" s="21"/>
      <c r="F48" s="8" t="s">
        <v>162</v>
      </c>
      <c r="G48" s="26">
        <v>220</v>
      </c>
      <c r="H48" s="18" t="s">
        <v>146</v>
      </c>
      <c r="I48" s="30">
        <v>55</v>
      </c>
      <c r="J48" s="30">
        <f t="shared" si="4"/>
        <v>12100</v>
      </c>
      <c r="O48" s="137">
        <f t="shared" si="0"/>
        <v>177.94117647058823</v>
      </c>
    </row>
    <row r="49" spans="2:15" ht="15" hidden="1">
      <c r="B49" s="65"/>
      <c r="C49" s="100">
        <f t="shared" ref="C49:C59" si="5">C48+0.01</f>
        <v>7.0299999999999994</v>
      </c>
      <c r="D49" s="29">
        <v>1</v>
      </c>
      <c r="E49" s="21"/>
      <c r="F49" s="8" t="s">
        <v>163</v>
      </c>
      <c r="G49" s="26">
        <v>600</v>
      </c>
      <c r="H49" s="18" t="s">
        <v>146</v>
      </c>
      <c r="I49" s="30">
        <v>55</v>
      </c>
      <c r="J49" s="30">
        <f t="shared" si="4"/>
        <v>33000</v>
      </c>
      <c r="O49" s="137">
        <f t="shared" si="0"/>
        <v>485.29411764705884</v>
      </c>
    </row>
    <row r="50" spans="2:15" ht="15" hidden="1">
      <c r="B50" s="65"/>
      <c r="C50" s="100">
        <f t="shared" si="5"/>
        <v>7.0399999999999991</v>
      </c>
      <c r="D50" s="29">
        <v>1</v>
      </c>
      <c r="E50" s="21"/>
      <c r="F50" s="8" t="s">
        <v>164</v>
      </c>
      <c r="G50" s="26">
        <v>230</v>
      </c>
      <c r="H50" s="18" t="s">
        <v>146</v>
      </c>
      <c r="I50" s="30">
        <v>55</v>
      </c>
      <c r="J50" s="30">
        <f t="shared" si="4"/>
        <v>12650</v>
      </c>
      <c r="O50" s="137">
        <f t="shared" si="0"/>
        <v>186.02941176470588</v>
      </c>
    </row>
    <row r="51" spans="2:15" ht="15" hidden="1">
      <c r="B51" s="65"/>
      <c r="C51" s="100">
        <f t="shared" si="5"/>
        <v>7.0499999999999989</v>
      </c>
      <c r="D51" s="29">
        <v>7.0000000000000001E-3</v>
      </c>
      <c r="E51" s="21"/>
      <c r="F51" s="8" t="s">
        <v>165</v>
      </c>
      <c r="G51" s="26">
        <v>17</v>
      </c>
      <c r="H51" s="18" t="s">
        <v>146</v>
      </c>
      <c r="I51" s="30">
        <v>60</v>
      </c>
      <c r="J51" s="30">
        <f t="shared" si="4"/>
        <v>1020</v>
      </c>
      <c r="O51" s="137">
        <f t="shared" si="0"/>
        <v>15</v>
      </c>
    </row>
    <row r="52" spans="2:15" ht="15.75" hidden="1">
      <c r="B52" s="93"/>
      <c r="C52" s="100">
        <f t="shared" si="5"/>
        <v>7.0599999999999987</v>
      </c>
      <c r="D52" s="29">
        <v>1</v>
      </c>
      <c r="E52" s="21"/>
      <c r="F52" s="8" t="s">
        <v>166</v>
      </c>
      <c r="G52" s="26">
        <v>20</v>
      </c>
      <c r="H52" s="18" t="s">
        <v>146</v>
      </c>
      <c r="I52" s="30">
        <v>90</v>
      </c>
      <c r="J52" s="30">
        <f t="shared" si="4"/>
        <v>1800</v>
      </c>
      <c r="O52" s="137">
        <f t="shared" si="0"/>
        <v>26.470588235294116</v>
      </c>
    </row>
    <row r="53" spans="2:15" ht="15.75" hidden="1">
      <c r="B53" s="93"/>
      <c r="C53" s="100">
        <f t="shared" si="5"/>
        <v>7.0699999999999985</v>
      </c>
      <c r="D53" s="29">
        <v>1</v>
      </c>
      <c r="E53" s="21"/>
      <c r="F53" s="8" t="s">
        <v>167</v>
      </c>
      <c r="G53" s="26">
        <f>18*2.7</f>
        <v>48.6</v>
      </c>
      <c r="H53" s="18" t="s">
        <v>146</v>
      </c>
      <c r="I53" s="30">
        <v>180</v>
      </c>
      <c r="J53" s="30">
        <f t="shared" si="4"/>
        <v>8748</v>
      </c>
      <c r="O53" s="137">
        <f t="shared" si="0"/>
        <v>128.64705882352942</v>
      </c>
    </row>
    <row r="54" spans="2:15" ht="15.75" hidden="1">
      <c r="B54" s="93"/>
      <c r="C54" s="100">
        <f t="shared" si="5"/>
        <v>7.0799999999999983</v>
      </c>
      <c r="D54" s="29">
        <v>1</v>
      </c>
      <c r="E54" s="21"/>
      <c r="F54" s="8" t="s">
        <v>168</v>
      </c>
      <c r="G54" s="26">
        <f>21*1.7</f>
        <v>35.699999999999996</v>
      </c>
      <c r="H54" s="18" t="s">
        <v>146</v>
      </c>
      <c r="I54" s="30">
        <v>150</v>
      </c>
      <c r="J54" s="30">
        <f t="shared" si="4"/>
        <v>5354.9999999999991</v>
      </c>
      <c r="L54" s="16"/>
      <c r="M54" s="16"/>
      <c r="O54" s="137">
        <f t="shared" si="0"/>
        <v>78.749999999999986</v>
      </c>
    </row>
    <row r="55" spans="2:15" ht="15.75" hidden="1">
      <c r="B55" s="93"/>
      <c r="C55" s="100">
        <f t="shared" si="5"/>
        <v>7.0899999999999981</v>
      </c>
      <c r="D55" s="29">
        <v>1</v>
      </c>
      <c r="E55" s="21"/>
      <c r="F55" s="8" t="s">
        <v>169</v>
      </c>
      <c r="G55" s="26">
        <f>12*2</f>
        <v>24</v>
      </c>
      <c r="H55" s="18" t="s">
        <v>75</v>
      </c>
      <c r="I55" s="30">
        <v>150</v>
      </c>
      <c r="J55" s="30">
        <f t="shared" si="4"/>
        <v>3600</v>
      </c>
      <c r="O55" s="137">
        <f t="shared" si="0"/>
        <v>52.941176470588232</v>
      </c>
    </row>
    <row r="56" spans="2:15" ht="15.75" hidden="1">
      <c r="B56" s="93"/>
      <c r="C56" s="100">
        <f t="shared" si="5"/>
        <v>7.0999999999999979</v>
      </c>
      <c r="D56" s="29">
        <v>1</v>
      </c>
      <c r="E56" s="21"/>
      <c r="F56" s="8" t="s">
        <v>170</v>
      </c>
      <c r="G56" s="26">
        <f>39*0.9</f>
        <v>35.1</v>
      </c>
      <c r="H56" s="18" t="s">
        <v>75</v>
      </c>
      <c r="I56" s="30">
        <v>100</v>
      </c>
      <c r="J56" s="30">
        <f t="shared" si="4"/>
        <v>3510</v>
      </c>
      <c r="K56" s="16"/>
      <c r="N56" s="16"/>
      <c r="O56" s="137">
        <f t="shared" si="0"/>
        <v>51.617647058823529</v>
      </c>
    </row>
    <row r="57" spans="2:15" ht="15.75" hidden="1">
      <c r="B57" s="93"/>
      <c r="C57" s="100">
        <f t="shared" si="5"/>
        <v>7.1099999999999977</v>
      </c>
      <c r="D57" s="29">
        <v>1</v>
      </c>
      <c r="E57" s="21"/>
      <c r="F57" s="8" t="s">
        <v>171</v>
      </c>
      <c r="G57" s="26">
        <v>12</v>
      </c>
      <c r="H57" s="18" t="s">
        <v>172</v>
      </c>
      <c r="I57" s="30">
        <v>100</v>
      </c>
      <c r="J57" s="30">
        <f t="shared" si="4"/>
        <v>1200</v>
      </c>
      <c r="O57" s="137">
        <f t="shared" si="0"/>
        <v>17.647058823529413</v>
      </c>
    </row>
    <row r="58" spans="2:15" ht="15" hidden="1">
      <c r="B58" s="65"/>
      <c r="C58" s="100">
        <f t="shared" si="5"/>
        <v>7.1199999999999974</v>
      </c>
      <c r="D58" s="29">
        <v>1.2E-2</v>
      </c>
      <c r="E58" s="21"/>
      <c r="F58" s="8" t="s">
        <v>148</v>
      </c>
      <c r="G58" s="26">
        <f>G46*D58</f>
        <v>29.655599999999996</v>
      </c>
      <c r="H58" s="18" t="s">
        <v>126</v>
      </c>
      <c r="I58" s="30">
        <v>1000</v>
      </c>
      <c r="J58" s="30">
        <f t="shared" si="4"/>
        <v>29655.599999999995</v>
      </c>
      <c r="O58" s="137">
        <f t="shared" si="0"/>
        <v>436.11176470588225</v>
      </c>
    </row>
    <row r="59" spans="2:15" ht="15" hidden="1">
      <c r="B59" s="65"/>
      <c r="C59" s="100">
        <f t="shared" si="5"/>
        <v>7.1299999999999972</v>
      </c>
      <c r="D59" s="29">
        <v>7.0000000000000001E-3</v>
      </c>
      <c r="E59" s="21"/>
      <c r="F59" s="8" t="s">
        <v>125</v>
      </c>
      <c r="G59" s="26">
        <f>G46*D59</f>
        <v>17.299099999999999</v>
      </c>
      <c r="H59" s="18" t="s">
        <v>126</v>
      </c>
      <c r="I59" s="30">
        <v>350</v>
      </c>
      <c r="J59" s="30">
        <f t="shared" si="4"/>
        <v>6054.6849999999995</v>
      </c>
      <c r="O59" s="137">
        <f t="shared" si="0"/>
        <v>89.03948529411764</v>
      </c>
    </row>
    <row r="60" spans="2:15" ht="15" hidden="1">
      <c r="B60" s="65" t="s">
        <v>173</v>
      </c>
      <c r="C60" s="18"/>
      <c r="D60" s="33"/>
      <c r="E60" s="21"/>
      <c r="F60" s="8"/>
      <c r="G60" s="18"/>
      <c r="H60" s="18"/>
      <c r="I60" s="18"/>
      <c r="J60" s="18"/>
      <c r="O60" s="137">
        <f t="shared" si="0"/>
        <v>0</v>
      </c>
    </row>
    <row r="61" spans="2:15" s="16" customFormat="1" ht="20.100000000000001" customHeight="1">
      <c r="B61" s="211" t="s">
        <v>174</v>
      </c>
      <c r="C61" s="212">
        <v>8</v>
      </c>
      <c r="D61" s="222"/>
      <c r="E61" s="211"/>
      <c r="F61" s="139" t="s">
        <v>175</v>
      </c>
      <c r="G61" s="213">
        <f>ESTIMATIONS!G58</f>
        <v>21.008000000000003</v>
      </c>
      <c r="H61" s="211" t="s">
        <v>131</v>
      </c>
      <c r="I61" s="137">
        <f>IF(G61&gt;=1, J61/G61, 0)</f>
        <v>6224.0000000000009</v>
      </c>
      <c r="J61" s="137">
        <f>SUM(J62:J67)</f>
        <v>130753.79200000003</v>
      </c>
      <c r="K61"/>
      <c r="L61"/>
      <c r="M61"/>
      <c r="N61"/>
      <c r="O61" s="137">
        <f t="shared" si="0"/>
        <v>1922.8498823529417</v>
      </c>
    </row>
    <row r="62" spans="2:15" ht="15.75" hidden="1">
      <c r="B62" s="65"/>
      <c r="C62" s="18">
        <v>8.01</v>
      </c>
      <c r="D62" s="29">
        <v>0.43</v>
      </c>
      <c r="E62" s="221"/>
      <c r="F62" s="8" t="s">
        <v>145</v>
      </c>
      <c r="G62" s="26">
        <f>D62*G61</f>
        <v>9.0334400000000006</v>
      </c>
      <c r="H62" s="18" t="s">
        <v>144</v>
      </c>
      <c r="I62" s="30">
        <v>800</v>
      </c>
      <c r="J62" s="30">
        <f t="shared" ref="J62:J67" si="6">I62*G62</f>
        <v>7226.7520000000004</v>
      </c>
      <c r="O62" s="137">
        <f t="shared" si="0"/>
        <v>106.27576470588235</v>
      </c>
    </row>
    <row r="63" spans="2:15" ht="15" hidden="1">
      <c r="B63" s="65"/>
      <c r="C63" s="18">
        <v>8.02</v>
      </c>
      <c r="D63" s="29">
        <v>0.85</v>
      </c>
      <c r="E63" s="21"/>
      <c r="F63" s="8" t="s">
        <v>176</v>
      </c>
      <c r="G63" s="26">
        <f>D63*G61</f>
        <v>17.856800000000003</v>
      </c>
      <c r="H63" s="18" t="s">
        <v>144</v>
      </c>
      <c r="I63" s="30">
        <v>800</v>
      </c>
      <c r="J63" s="30">
        <f t="shared" si="6"/>
        <v>14285.440000000002</v>
      </c>
      <c r="O63" s="137">
        <f t="shared" si="0"/>
        <v>210.08000000000004</v>
      </c>
    </row>
    <row r="64" spans="2:15" ht="15" hidden="1">
      <c r="B64" s="65"/>
      <c r="C64" s="18">
        <v>8.0299999999999994</v>
      </c>
      <c r="D64" s="29">
        <v>540</v>
      </c>
      <c r="E64" s="21"/>
      <c r="F64" s="8" t="s">
        <v>132</v>
      </c>
      <c r="G64" s="25">
        <f>SUM(D64*G61)</f>
        <v>11344.320000000002</v>
      </c>
      <c r="H64" s="18" t="s">
        <v>146</v>
      </c>
      <c r="I64" s="30">
        <v>6</v>
      </c>
      <c r="J64" s="30">
        <f t="shared" si="6"/>
        <v>68065.920000000013</v>
      </c>
      <c r="O64" s="137">
        <f t="shared" si="0"/>
        <v>1000.969411764706</v>
      </c>
    </row>
    <row r="65" spans="2:15" ht="15" hidden="1">
      <c r="B65" s="66"/>
      <c r="C65" s="18">
        <v>8.0399999999999991</v>
      </c>
      <c r="D65" s="29">
        <v>160</v>
      </c>
      <c r="E65" s="21"/>
      <c r="F65" s="8" t="s">
        <v>134</v>
      </c>
      <c r="G65" s="26">
        <f>D65*G61</f>
        <v>3361.2800000000007</v>
      </c>
      <c r="H65" s="18" t="s">
        <v>147</v>
      </c>
      <c r="I65" s="30">
        <v>0</v>
      </c>
      <c r="J65" s="30">
        <f t="shared" si="6"/>
        <v>0</v>
      </c>
      <c r="O65" s="137">
        <f t="shared" si="0"/>
        <v>0</v>
      </c>
    </row>
    <row r="66" spans="2:15" ht="15" hidden="1">
      <c r="B66" s="66"/>
      <c r="C66" s="18">
        <v>8.09</v>
      </c>
      <c r="D66" s="29">
        <v>0.7</v>
      </c>
      <c r="E66" s="21"/>
      <c r="F66" s="8" t="s">
        <v>148</v>
      </c>
      <c r="G66" s="26">
        <f>D66*G61</f>
        <v>14.7056</v>
      </c>
      <c r="H66" s="18" t="s">
        <v>126</v>
      </c>
      <c r="I66" s="30">
        <v>1000</v>
      </c>
      <c r="J66" s="30">
        <f t="shared" si="6"/>
        <v>14705.6</v>
      </c>
      <c r="O66" s="137">
        <f t="shared" si="0"/>
        <v>216.25882352941176</v>
      </c>
    </row>
    <row r="67" spans="2:15" ht="15" hidden="1">
      <c r="B67" s="66"/>
      <c r="C67" s="26">
        <v>8.1</v>
      </c>
      <c r="D67" s="29">
        <v>3.6</v>
      </c>
      <c r="E67" s="21"/>
      <c r="F67" s="8" t="s">
        <v>125</v>
      </c>
      <c r="G67" s="26">
        <f>SUM(D67*G61)</f>
        <v>75.628800000000012</v>
      </c>
      <c r="H67" s="18" t="s">
        <v>126</v>
      </c>
      <c r="I67" s="30">
        <v>350</v>
      </c>
      <c r="J67" s="30">
        <f t="shared" si="6"/>
        <v>26470.080000000005</v>
      </c>
      <c r="O67" s="137">
        <f t="shared" si="0"/>
        <v>389.26588235294128</v>
      </c>
    </row>
    <row r="68" spans="2:15" ht="15" hidden="1">
      <c r="B68" s="65" t="s">
        <v>177</v>
      </c>
      <c r="C68" s="18"/>
      <c r="D68" s="33"/>
      <c r="E68" s="21"/>
      <c r="F68" s="8"/>
      <c r="G68" s="18"/>
      <c r="H68" s="18"/>
      <c r="I68" s="18"/>
      <c r="J68" s="18"/>
      <c r="O68" s="137">
        <f t="shared" si="0"/>
        <v>0</v>
      </c>
    </row>
    <row r="69" spans="2:15" ht="20.100000000000001" hidden="1" customHeight="1">
      <c r="B69" s="211" t="s">
        <v>178</v>
      </c>
      <c r="C69" s="212">
        <v>9</v>
      </c>
      <c r="D69" s="222"/>
      <c r="E69" s="211"/>
      <c r="F69" s="139" t="s">
        <v>179</v>
      </c>
      <c r="G69" s="213">
        <f>SUM(G70:G71)</f>
        <v>0</v>
      </c>
      <c r="H69" s="211" t="s">
        <v>180</v>
      </c>
      <c r="I69" s="218">
        <f>IF(G69&gt;=1, J69/G69, 0)</f>
        <v>0</v>
      </c>
      <c r="J69" s="218">
        <f>SUM(J70:J71)</f>
        <v>0</v>
      </c>
      <c r="O69" s="137">
        <f t="shared" si="0"/>
        <v>0</v>
      </c>
    </row>
    <row r="70" spans="2:15" ht="15.75" hidden="1">
      <c r="B70" s="66"/>
      <c r="C70" s="100">
        <v>9.01</v>
      </c>
      <c r="D70" s="32">
        <v>0.43</v>
      </c>
      <c r="E70" s="221"/>
      <c r="F70" s="8" t="s">
        <v>181</v>
      </c>
      <c r="G70" s="26">
        <v>0</v>
      </c>
      <c r="H70" s="18" t="s">
        <v>182</v>
      </c>
      <c r="I70" s="30">
        <v>350</v>
      </c>
      <c r="J70" s="30">
        <f>I70*G70</f>
        <v>0</v>
      </c>
      <c r="O70" s="137">
        <f t="shared" si="0"/>
        <v>0</v>
      </c>
    </row>
    <row r="71" spans="2:15" ht="15" hidden="1">
      <c r="B71" s="65"/>
      <c r="C71" s="18">
        <v>9.02</v>
      </c>
      <c r="D71" s="32">
        <v>0.85</v>
      </c>
      <c r="E71" s="21"/>
      <c r="F71" s="8" t="s">
        <v>183</v>
      </c>
      <c r="G71" s="26">
        <v>0</v>
      </c>
      <c r="H71" s="18" t="s">
        <v>184</v>
      </c>
      <c r="I71" s="30">
        <v>1000</v>
      </c>
      <c r="J71" s="30">
        <f>I71*G71</f>
        <v>0</v>
      </c>
      <c r="O71" s="137">
        <f t="shared" si="0"/>
        <v>0</v>
      </c>
    </row>
    <row r="72" spans="2:15" ht="20.100000000000001" customHeight="1">
      <c r="B72" s="211" t="s">
        <v>185</v>
      </c>
      <c r="C72" s="212">
        <v>10</v>
      </c>
      <c r="D72" s="222"/>
      <c r="E72" s="211"/>
      <c r="F72" s="224" t="str">
        <f>ESTIMATIONS!B59</f>
        <v>SHUTTERING</v>
      </c>
      <c r="G72" s="213">
        <f>ESTIMATIONS!G67</f>
        <v>136.82</v>
      </c>
      <c r="H72" s="211" t="s">
        <v>124</v>
      </c>
      <c r="I72" s="218">
        <f>IF(G72&gt;=1, J72/G72, 0)</f>
        <v>250</v>
      </c>
      <c r="J72" s="218">
        <f>SUM(J73:J73)</f>
        <v>34205</v>
      </c>
      <c r="O72" s="137">
        <f t="shared" si="0"/>
        <v>503.01470588235293</v>
      </c>
    </row>
    <row r="73" spans="2:15" ht="15.75" hidden="1">
      <c r="B73" s="93"/>
      <c r="C73" s="100">
        <v>10.01</v>
      </c>
      <c r="D73" s="32"/>
      <c r="E73" s="21"/>
      <c r="F73" s="8" t="s">
        <v>186</v>
      </c>
      <c r="G73" s="96">
        <f>G72</f>
        <v>136.82</v>
      </c>
      <c r="H73" s="7" t="s">
        <v>187</v>
      </c>
      <c r="I73" s="144">
        <v>250</v>
      </c>
      <c r="J73" s="144">
        <f>I73*G73</f>
        <v>34205</v>
      </c>
      <c r="O73" s="137">
        <f t="shared" si="0"/>
        <v>503.01470588235293</v>
      </c>
    </row>
    <row r="74" spans="2:15" ht="15" hidden="1">
      <c r="B74" s="65"/>
      <c r="C74" s="18"/>
      <c r="D74" s="33"/>
      <c r="E74" s="21"/>
      <c r="F74" s="8"/>
      <c r="G74" s="18"/>
      <c r="H74" s="18"/>
      <c r="I74" s="18"/>
      <c r="J74" s="18"/>
      <c r="O74" s="137">
        <f t="shared" si="0"/>
        <v>0</v>
      </c>
    </row>
    <row r="75" spans="2:15" ht="20.100000000000001" customHeight="1">
      <c r="B75" s="211" t="s">
        <v>188</v>
      </c>
      <c r="C75" s="212">
        <v>11</v>
      </c>
      <c r="D75" s="222"/>
      <c r="E75" s="211"/>
      <c r="F75" s="139" t="s">
        <v>189</v>
      </c>
      <c r="G75" s="213">
        <f>ESTIMATIONS!G79</f>
        <v>146.07999999999998</v>
      </c>
      <c r="H75" s="211" t="s">
        <v>124</v>
      </c>
      <c r="I75" s="218">
        <f>IF(G75&gt;=1, J75/G75, 0)</f>
        <v>197.04</v>
      </c>
      <c r="J75" s="218">
        <f>SUM(J76:J81)</f>
        <v>28783.603199999998</v>
      </c>
      <c r="O75" s="137">
        <f t="shared" si="0"/>
        <v>423.28828235294117</v>
      </c>
    </row>
    <row r="76" spans="2:15" ht="15" hidden="1">
      <c r="B76" s="66"/>
      <c r="C76" s="100">
        <v>11.01</v>
      </c>
      <c r="D76" s="32">
        <v>1.04E-2</v>
      </c>
      <c r="E76" s="21"/>
      <c r="F76" s="8" t="s">
        <v>190</v>
      </c>
      <c r="G76" s="26">
        <f>D76*G75</f>
        <v>1.5192319999999997</v>
      </c>
      <c r="H76" s="18" t="s">
        <v>144</v>
      </c>
      <c r="I76" s="30">
        <v>800</v>
      </c>
      <c r="J76" s="30">
        <f>I76*G76</f>
        <v>1215.3855999999998</v>
      </c>
      <c r="O76" s="137">
        <f t="shared" si="0"/>
        <v>17.873317647058823</v>
      </c>
    </row>
    <row r="77" spans="2:15" ht="15" hidden="1">
      <c r="B77" s="66"/>
      <c r="C77" s="100">
        <v>11.02</v>
      </c>
      <c r="D77" s="32">
        <v>3.12</v>
      </c>
      <c r="E77" s="21"/>
      <c r="F77" s="8" t="s">
        <v>191</v>
      </c>
      <c r="G77" s="26">
        <f>D77*G75</f>
        <v>455.76959999999997</v>
      </c>
      <c r="H77" s="18" t="s">
        <v>146</v>
      </c>
      <c r="I77" s="30">
        <v>6</v>
      </c>
      <c r="J77" s="30">
        <f>I77*G77</f>
        <v>2734.6175999999996</v>
      </c>
      <c r="O77" s="137">
        <f t="shared" si="0"/>
        <v>40.214964705882345</v>
      </c>
    </row>
    <row r="78" spans="2:15" ht="15" hidden="1">
      <c r="B78" s="66"/>
      <c r="C78" s="100">
        <v>11.03</v>
      </c>
      <c r="D78" s="32">
        <v>2.5099999999999998</v>
      </c>
      <c r="E78" s="21"/>
      <c r="F78" s="8" t="s">
        <v>134</v>
      </c>
      <c r="G78" s="26">
        <f>D78*G75</f>
        <v>366.66079999999994</v>
      </c>
      <c r="H78" s="18" t="s">
        <v>147</v>
      </c>
      <c r="I78" s="30">
        <v>0</v>
      </c>
      <c r="J78" s="30">
        <f>I78*G78</f>
        <v>0</v>
      </c>
      <c r="O78" s="137">
        <f t="shared" ref="O78:O141" si="7">J78/68</f>
        <v>0</v>
      </c>
    </row>
    <row r="79" spans="2:15" ht="15" hidden="1">
      <c r="B79" s="66"/>
      <c r="C79" s="100">
        <v>11.04</v>
      </c>
      <c r="D79" s="32">
        <v>0.1</v>
      </c>
      <c r="E79" s="21"/>
      <c r="F79" s="8" t="s">
        <v>148</v>
      </c>
      <c r="G79" s="26">
        <f>D79*G75</f>
        <v>14.607999999999999</v>
      </c>
      <c r="H79" s="18" t="s">
        <v>126</v>
      </c>
      <c r="I79" s="30">
        <v>1000</v>
      </c>
      <c r="J79" s="30">
        <f>I79*G79</f>
        <v>14607.999999999998</v>
      </c>
      <c r="O79" s="137">
        <f t="shared" si="7"/>
        <v>214.82352941176467</v>
      </c>
    </row>
    <row r="80" spans="2:15" ht="15" hidden="1">
      <c r="B80" s="66"/>
      <c r="C80" s="100">
        <v>11.05</v>
      </c>
      <c r="D80" s="32">
        <v>0.2</v>
      </c>
      <c r="E80" s="21"/>
      <c r="F80" s="8" t="s">
        <v>125</v>
      </c>
      <c r="G80" s="26">
        <f>D80*G75</f>
        <v>29.215999999999998</v>
      </c>
      <c r="H80" s="18" t="s">
        <v>126</v>
      </c>
      <c r="I80" s="30">
        <v>350</v>
      </c>
      <c r="J80" s="30">
        <f>I80*G80</f>
        <v>10225.599999999999</v>
      </c>
      <c r="O80" s="137">
        <f t="shared" si="7"/>
        <v>150.37647058823526</v>
      </c>
    </row>
    <row r="81" spans="2:15" ht="15" hidden="1">
      <c r="B81" s="65"/>
      <c r="C81" s="100"/>
      <c r="D81" s="32"/>
      <c r="E81" s="21"/>
      <c r="F81" s="8"/>
      <c r="G81" s="26"/>
      <c r="H81" s="18"/>
      <c r="I81" s="17"/>
      <c r="J81" s="17"/>
      <c r="O81" s="137">
        <f t="shared" si="7"/>
        <v>0</v>
      </c>
    </row>
    <row r="82" spans="2:15" ht="20.100000000000001" customHeight="1">
      <c r="B82" s="211" t="s">
        <v>192</v>
      </c>
      <c r="C82" s="212">
        <v>12</v>
      </c>
      <c r="D82" s="222"/>
      <c r="E82" s="211"/>
      <c r="F82" s="225" t="s">
        <v>193</v>
      </c>
      <c r="G82" s="213">
        <f>ESTIMATIONS!G104</f>
        <v>27.900000000000002</v>
      </c>
      <c r="H82" s="211" t="s">
        <v>124</v>
      </c>
      <c r="I82" s="218">
        <f>IF(G82&gt;=1, J82/G82, 0)</f>
        <v>437.04</v>
      </c>
      <c r="J82" s="218">
        <f>SUM(J83:J88)</f>
        <v>12193.416000000001</v>
      </c>
      <c r="O82" s="137">
        <f t="shared" si="7"/>
        <v>179.3149411764706</v>
      </c>
    </row>
    <row r="83" spans="2:15" ht="15" hidden="1">
      <c r="B83" s="99"/>
      <c r="C83" s="69">
        <v>12.01</v>
      </c>
      <c r="D83" s="32">
        <v>1.04E-2</v>
      </c>
      <c r="E83" s="21"/>
      <c r="F83" s="8" t="s">
        <v>194</v>
      </c>
      <c r="G83" s="26">
        <f>G82</f>
        <v>27.900000000000002</v>
      </c>
      <c r="H83" s="18" t="s">
        <v>195</v>
      </c>
      <c r="I83" s="30">
        <v>240</v>
      </c>
      <c r="J83" s="30">
        <f t="shared" ref="J83:J88" si="8">I83*G83</f>
        <v>6696.0000000000009</v>
      </c>
      <c r="O83" s="137">
        <f t="shared" si="7"/>
        <v>98.47058823529413</v>
      </c>
    </row>
    <row r="84" spans="2:15" ht="15" hidden="1">
      <c r="B84" s="99"/>
      <c r="C84" s="69">
        <v>12.04</v>
      </c>
      <c r="D84" s="32">
        <v>1.04E-2</v>
      </c>
      <c r="E84" s="21"/>
      <c r="F84" s="8" t="s">
        <v>145</v>
      </c>
      <c r="G84" s="26">
        <f>D84*G82</f>
        <v>0.29016000000000003</v>
      </c>
      <c r="H84" s="18" t="s">
        <v>144</v>
      </c>
      <c r="I84" s="30">
        <v>800</v>
      </c>
      <c r="J84" s="30">
        <f t="shared" si="8"/>
        <v>232.12800000000001</v>
      </c>
      <c r="O84" s="137">
        <f t="shared" si="7"/>
        <v>3.4136470588235297</v>
      </c>
    </row>
    <row r="85" spans="2:15" ht="15" hidden="1">
      <c r="B85" s="66"/>
      <c r="C85" s="100">
        <v>11.03</v>
      </c>
      <c r="D85" s="32">
        <v>3.12</v>
      </c>
      <c r="E85" s="21"/>
      <c r="F85" s="8" t="s">
        <v>196</v>
      </c>
      <c r="G85" s="26">
        <f>D85*G82</f>
        <v>87.048000000000016</v>
      </c>
      <c r="H85" s="18" t="s">
        <v>146</v>
      </c>
      <c r="I85" s="30">
        <v>6</v>
      </c>
      <c r="J85" s="30">
        <f t="shared" si="8"/>
        <v>522.28800000000012</v>
      </c>
      <c r="O85" s="137">
        <f t="shared" si="7"/>
        <v>7.6807058823529433</v>
      </c>
    </row>
    <row r="86" spans="2:15" ht="15" hidden="1">
      <c r="B86" s="66"/>
      <c r="C86" s="100">
        <v>11.04</v>
      </c>
      <c r="D86" s="32">
        <v>2.5099999999999998</v>
      </c>
      <c r="E86" s="21"/>
      <c r="F86" s="8" t="s">
        <v>134</v>
      </c>
      <c r="G86" s="26">
        <f>D86*G82</f>
        <v>70.028999999999996</v>
      </c>
      <c r="H86" s="18" t="s">
        <v>147</v>
      </c>
      <c r="I86" s="30">
        <v>0</v>
      </c>
      <c r="J86" s="30">
        <f t="shared" si="8"/>
        <v>0</v>
      </c>
      <c r="O86" s="137">
        <f t="shared" si="7"/>
        <v>0</v>
      </c>
    </row>
    <row r="87" spans="2:15" ht="15" hidden="1">
      <c r="B87" s="66"/>
      <c r="C87" s="100">
        <v>11.05</v>
      </c>
      <c r="D87" s="32">
        <v>0.1</v>
      </c>
      <c r="E87" s="21"/>
      <c r="F87" s="8" t="s">
        <v>148</v>
      </c>
      <c r="G87" s="26">
        <f>D87*G82</f>
        <v>2.7900000000000005</v>
      </c>
      <c r="H87" s="18" t="s">
        <v>126</v>
      </c>
      <c r="I87" s="30">
        <v>1000</v>
      </c>
      <c r="J87" s="30">
        <f t="shared" si="8"/>
        <v>2790.0000000000005</v>
      </c>
      <c r="L87" s="16"/>
      <c r="M87" s="16"/>
      <c r="O87" s="137">
        <f t="shared" si="7"/>
        <v>41.029411764705891</v>
      </c>
    </row>
    <row r="88" spans="2:15" ht="15" hidden="1">
      <c r="B88" s="66"/>
      <c r="C88" s="100">
        <v>11.06</v>
      </c>
      <c r="D88" s="32">
        <v>0.2</v>
      </c>
      <c r="E88" s="21"/>
      <c r="F88" s="8" t="s">
        <v>125</v>
      </c>
      <c r="G88" s="26">
        <f>D88*G82</f>
        <v>5.580000000000001</v>
      </c>
      <c r="H88" s="18" t="s">
        <v>126</v>
      </c>
      <c r="I88" s="30">
        <v>350</v>
      </c>
      <c r="J88" s="30">
        <f t="shared" si="8"/>
        <v>1953.0000000000002</v>
      </c>
      <c r="O88" s="137">
        <f t="shared" si="7"/>
        <v>28.72058823529412</v>
      </c>
    </row>
    <row r="89" spans="2:15" ht="15" hidden="1">
      <c r="B89" s="65" t="s">
        <v>197</v>
      </c>
      <c r="C89" s="100"/>
      <c r="D89" s="29"/>
      <c r="E89" s="65"/>
      <c r="F89" s="8"/>
      <c r="G89" s="26"/>
      <c r="H89" s="18"/>
      <c r="I89" s="17"/>
      <c r="J89" s="17"/>
      <c r="O89" s="137">
        <f t="shared" si="7"/>
        <v>0</v>
      </c>
    </row>
    <row r="90" spans="2:15" ht="20.100000000000001" customHeight="1">
      <c r="B90" s="211" t="s">
        <v>198</v>
      </c>
      <c r="C90" s="212">
        <v>13</v>
      </c>
      <c r="D90" s="222"/>
      <c r="E90" s="211"/>
      <c r="F90" s="139" t="s">
        <v>199</v>
      </c>
      <c r="G90" s="213">
        <f>ESTIMATIONS!G94</f>
        <v>158.07999999999998</v>
      </c>
      <c r="H90" s="211" t="s">
        <v>124</v>
      </c>
      <c r="I90" s="218">
        <f>IF(G90&gt;=1, J90/G90, 0)</f>
        <v>390.60728744939274</v>
      </c>
      <c r="J90" s="218">
        <f>SUM(J91:J94)</f>
        <v>61747.199999999997</v>
      </c>
      <c r="O90" s="137">
        <f t="shared" si="7"/>
        <v>908.04705882352937</v>
      </c>
    </row>
    <row r="91" spans="2:15" ht="15" hidden="1">
      <c r="B91" s="66"/>
      <c r="C91" s="100">
        <v>13.01</v>
      </c>
      <c r="D91" s="32">
        <v>1</v>
      </c>
      <c r="E91" s="27"/>
      <c r="F91" s="8" t="s">
        <v>200</v>
      </c>
      <c r="G91" s="26">
        <f>D91*G90</f>
        <v>158.07999999999998</v>
      </c>
      <c r="H91" s="18" t="s">
        <v>11</v>
      </c>
      <c r="I91" s="30">
        <v>170</v>
      </c>
      <c r="J91" s="30">
        <f>I91*G91</f>
        <v>26873.599999999999</v>
      </c>
      <c r="O91" s="137">
        <f t="shared" si="7"/>
        <v>395.2</v>
      </c>
    </row>
    <row r="92" spans="2:15" ht="15" hidden="1">
      <c r="B92" s="66"/>
      <c r="C92" s="100">
        <v>13.02</v>
      </c>
      <c r="D92" s="32">
        <v>0.1</v>
      </c>
      <c r="E92" s="21"/>
      <c r="F92" s="8" t="s">
        <v>57</v>
      </c>
      <c r="G92" s="26">
        <f>ESTIMATIONS!G85</f>
        <v>16</v>
      </c>
      <c r="H92" s="18" t="s">
        <v>11</v>
      </c>
      <c r="I92" s="30">
        <v>500</v>
      </c>
      <c r="J92" s="30">
        <f>I92*G92</f>
        <v>8000</v>
      </c>
      <c r="K92" s="16"/>
      <c r="L92" s="16"/>
      <c r="M92" s="16"/>
      <c r="N92" s="16"/>
      <c r="O92" s="137">
        <f t="shared" si="7"/>
        <v>117.64705882352941</v>
      </c>
    </row>
    <row r="93" spans="2:15" ht="15" hidden="1">
      <c r="B93" s="66"/>
      <c r="C93" s="100">
        <v>13.03</v>
      </c>
      <c r="D93" s="32">
        <v>0.1</v>
      </c>
      <c r="E93" s="21"/>
      <c r="F93" s="8" t="s">
        <v>148</v>
      </c>
      <c r="G93" s="26">
        <f>D93*G90</f>
        <v>15.808</v>
      </c>
      <c r="H93" s="18" t="s">
        <v>126</v>
      </c>
      <c r="I93" s="30">
        <v>1000</v>
      </c>
      <c r="J93" s="30">
        <f>I93*G93</f>
        <v>15808</v>
      </c>
      <c r="O93" s="137">
        <f t="shared" si="7"/>
        <v>232.47058823529412</v>
      </c>
    </row>
    <row r="94" spans="2:15" ht="15" hidden="1">
      <c r="B94" s="99"/>
      <c r="C94" s="100">
        <v>13.04</v>
      </c>
      <c r="D94" s="32">
        <v>0.2</v>
      </c>
      <c r="E94" s="21"/>
      <c r="F94" s="8" t="s">
        <v>125</v>
      </c>
      <c r="G94" s="26">
        <f>D94*G90</f>
        <v>31.616</v>
      </c>
      <c r="H94" s="18" t="s">
        <v>126</v>
      </c>
      <c r="I94" s="30">
        <v>350</v>
      </c>
      <c r="J94" s="30">
        <f>I94*G94</f>
        <v>11065.6</v>
      </c>
      <c r="O94" s="137">
        <f t="shared" si="7"/>
        <v>162.7294117647059</v>
      </c>
    </row>
    <row r="95" spans="2:15" s="16" customFormat="1" ht="20.100000000000001" hidden="1" customHeight="1">
      <c r="B95" s="211" t="s">
        <v>201</v>
      </c>
      <c r="C95" s="212">
        <v>14</v>
      </c>
      <c r="D95" s="222"/>
      <c r="E95" s="211"/>
      <c r="F95" s="224" t="s">
        <v>202</v>
      </c>
      <c r="G95" s="213">
        <f>SUM(G96:G97)</f>
        <v>0</v>
      </c>
      <c r="H95" s="211" t="s">
        <v>124</v>
      </c>
      <c r="I95" s="137">
        <f>IF(G95&gt;=1, J95/G95, 0)</f>
        <v>0</v>
      </c>
      <c r="J95" s="137">
        <f>SUM(J96:J98)</f>
        <v>0</v>
      </c>
      <c r="K95"/>
      <c r="L95"/>
      <c r="M95"/>
      <c r="N95"/>
      <c r="O95" s="137">
        <f t="shared" si="7"/>
        <v>0</v>
      </c>
    </row>
    <row r="96" spans="2:15" ht="15" hidden="1">
      <c r="B96" s="66"/>
      <c r="C96" s="100">
        <v>14.01</v>
      </c>
      <c r="D96" s="32">
        <v>1</v>
      </c>
      <c r="E96" s="27"/>
      <c r="F96" s="8" t="s">
        <v>203</v>
      </c>
      <c r="G96" s="26">
        <f>ESTIMATIONS!G108</f>
        <v>0</v>
      </c>
      <c r="H96" s="18" t="s">
        <v>204</v>
      </c>
      <c r="I96" s="30">
        <v>3150</v>
      </c>
      <c r="J96" s="30">
        <f>I96*G96</f>
        <v>0</v>
      </c>
      <c r="O96" s="137">
        <f t="shared" si="7"/>
        <v>0</v>
      </c>
    </row>
    <row r="97" spans="2:15" ht="15" hidden="1">
      <c r="B97" s="66"/>
      <c r="C97" s="100">
        <v>14.02</v>
      </c>
      <c r="D97" s="32">
        <v>1</v>
      </c>
      <c r="E97" s="27"/>
      <c r="F97" s="8" t="s">
        <v>205</v>
      </c>
      <c r="G97" s="26">
        <f>ESTIMATIONS!G112</f>
        <v>0</v>
      </c>
      <c r="H97" s="18" t="s">
        <v>204</v>
      </c>
      <c r="I97" s="30">
        <v>2350</v>
      </c>
      <c r="J97" s="30">
        <f>I97*G97</f>
        <v>0</v>
      </c>
      <c r="O97" s="137">
        <f t="shared" si="7"/>
        <v>0</v>
      </c>
    </row>
    <row r="98" spans="2:15" ht="15" hidden="1">
      <c r="B98" s="66"/>
      <c r="C98" s="100">
        <v>14.03</v>
      </c>
      <c r="D98" s="32">
        <v>1</v>
      </c>
      <c r="E98" s="27"/>
      <c r="F98" s="8" t="s">
        <v>206</v>
      </c>
      <c r="G98" s="18">
        <v>0</v>
      </c>
      <c r="H98" s="18" t="s">
        <v>88</v>
      </c>
      <c r="I98" s="30">
        <v>2000</v>
      </c>
      <c r="J98" s="30">
        <f>I98*G98</f>
        <v>0</v>
      </c>
      <c r="O98" s="137">
        <f t="shared" si="7"/>
        <v>0</v>
      </c>
    </row>
    <row r="99" spans="2:15" ht="15" hidden="1">
      <c r="B99" s="65" t="s">
        <v>207</v>
      </c>
      <c r="C99" s="100"/>
      <c r="D99" s="32"/>
      <c r="E99" s="21"/>
      <c r="F99" s="8"/>
      <c r="G99" s="26"/>
      <c r="H99" s="18"/>
      <c r="I99" s="17"/>
      <c r="J99" s="17"/>
      <c r="O99" s="137">
        <f t="shared" si="7"/>
        <v>0</v>
      </c>
    </row>
    <row r="100" spans="2:15" s="16" customFormat="1" ht="20.100000000000001" customHeight="1">
      <c r="B100" s="211" t="s">
        <v>208</v>
      </c>
      <c r="C100" s="212">
        <v>15</v>
      </c>
      <c r="D100" s="222"/>
      <c r="E100" s="226"/>
      <c r="F100" s="227" t="s">
        <v>209</v>
      </c>
      <c r="G100" s="213">
        <v>1</v>
      </c>
      <c r="H100" s="211" t="s">
        <v>88</v>
      </c>
      <c r="I100" s="137">
        <f>IF(G100&gt;=1, J100/G100, 0)</f>
        <v>87400</v>
      </c>
      <c r="J100" s="137">
        <f>SUM(J101:J117)</f>
        <v>87400</v>
      </c>
      <c r="K100"/>
      <c r="L100"/>
      <c r="M100"/>
      <c r="N100"/>
      <c r="O100" s="137">
        <f t="shared" si="7"/>
        <v>1285.2941176470588</v>
      </c>
    </row>
    <row r="101" spans="2:15" ht="15" hidden="1">
      <c r="B101" s="66"/>
      <c r="C101" s="69">
        <v>15.01</v>
      </c>
      <c r="D101" s="32"/>
      <c r="E101" s="21"/>
      <c r="F101" s="8" t="s">
        <v>210</v>
      </c>
      <c r="G101" s="25">
        <v>0</v>
      </c>
      <c r="H101" s="18" t="s">
        <v>84</v>
      </c>
      <c r="I101" s="30">
        <v>12000</v>
      </c>
      <c r="J101" s="30">
        <f t="shared" ref="J101:J117" si="9">G101*I101</f>
        <v>0</v>
      </c>
      <c r="O101" s="137">
        <f t="shared" si="7"/>
        <v>0</v>
      </c>
    </row>
    <row r="102" spans="2:15" ht="15" hidden="1">
      <c r="B102" s="66"/>
      <c r="C102" s="69">
        <f>C101+0.01</f>
        <v>15.02</v>
      </c>
      <c r="D102" s="32"/>
      <c r="E102" s="21"/>
      <c r="F102" s="8" t="s">
        <v>211</v>
      </c>
      <c r="G102" s="25">
        <v>0</v>
      </c>
      <c r="H102" s="18" t="s">
        <v>84</v>
      </c>
      <c r="I102" s="30">
        <v>6500</v>
      </c>
      <c r="J102" s="30">
        <f t="shared" si="9"/>
        <v>0</v>
      </c>
      <c r="O102" s="137">
        <f t="shared" si="7"/>
        <v>0</v>
      </c>
    </row>
    <row r="103" spans="2:15" ht="15" hidden="1">
      <c r="B103" s="66"/>
      <c r="C103" s="69">
        <f t="shared" ref="C103:C117" si="10">C102+0.01</f>
        <v>15.03</v>
      </c>
      <c r="D103" s="32"/>
      <c r="E103" s="21"/>
      <c r="F103" s="8" t="s">
        <v>212</v>
      </c>
      <c r="G103" s="25">
        <v>0</v>
      </c>
      <c r="H103" s="18" t="s">
        <v>84</v>
      </c>
      <c r="I103" s="30">
        <v>15000</v>
      </c>
      <c r="J103" s="30">
        <f t="shared" si="9"/>
        <v>0</v>
      </c>
      <c r="O103" s="137">
        <f t="shared" si="7"/>
        <v>0</v>
      </c>
    </row>
    <row r="104" spans="2:15" ht="15" hidden="1">
      <c r="B104" s="66"/>
      <c r="C104" s="69">
        <f t="shared" si="10"/>
        <v>15.04</v>
      </c>
      <c r="D104" s="32"/>
      <c r="E104" s="21"/>
      <c r="F104" s="8" t="s">
        <v>213</v>
      </c>
      <c r="G104" s="18">
        <v>0</v>
      </c>
      <c r="H104" s="18" t="s">
        <v>214</v>
      </c>
      <c r="I104" s="30">
        <v>8000</v>
      </c>
      <c r="J104" s="30">
        <f t="shared" si="9"/>
        <v>0</v>
      </c>
      <c r="O104" s="137">
        <f t="shared" si="7"/>
        <v>0</v>
      </c>
    </row>
    <row r="105" spans="2:15" ht="15" hidden="1">
      <c r="B105" s="66"/>
      <c r="C105" s="69">
        <f t="shared" si="10"/>
        <v>15.049999999999999</v>
      </c>
      <c r="D105" s="32"/>
      <c r="E105" s="21"/>
      <c r="F105" s="8" t="str">
        <f>ESTIMATIONS!B120</f>
        <v>Hand washing sinks with high quality brass lever faucet, mirror and accessories</v>
      </c>
      <c r="G105" s="25">
        <f>ESTIMATIONS!G120</f>
        <v>7</v>
      </c>
      <c r="H105" s="18" t="s">
        <v>82</v>
      </c>
      <c r="I105" s="30">
        <v>1400</v>
      </c>
      <c r="J105" s="30">
        <f t="shared" si="9"/>
        <v>9800</v>
      </c>
      <c r="O105" s="137">
        <f t="shared" si="7"/>
        <v>144.11764705882354</v>
      </c>
    </row>
    <row r="106" spans="2:15" ht="15" hidden="1">
      <c r="B106" s="66"/>
      <c r="C106" s="69">
        <f t="shared" si="10"/>
        <v>15.059999999999999</v>
      </c>
      <c r="D106" s="32"/>
      <c r="E106" s="21"/>
      <c r="F106" s="8" t="s">
        <v>215</v>
      </c>
      <c r="G106" s="25">
        <v>0</v>
      </c>
      <c r="H106" s="18" t="s">
        <v>153</v>
      </c>
      <c r="I106" s="30">
        <v>600</v>
      </c>
      <c r="J106" s="30">
        <f t="shared" si="9"/>
        <v>0</v>
      </c>
      <c r="O106" s="137">
        <f t="shared" si="7"/>
        <v>0</v>
      </c>
    </row>
    <row r="107" spans="2:15" ht="20.25" hidden="1">
      <c r="B107" s="66"/>
      <c r="C107" s="69">
        <f t="shared" si="10"/>
        <v>15.069999999999999</v>
      </c>
      <c r="D107" s="32"/>
      <c r="E107" s="21"/>
      <c r="F107" s="8" t="s">
        <v>216</v>
      </c>
      <c r="G107" s="25">
        <v>0</v>
      </c>
      <c r="H107" s="18" t="s">
        <v>153</v>
      </c>
      <c r="I107" s="30">
        <v>4000</v>
      </c>
      <c r="J107" s="30">
        <f t="shared" si="9"/>
        <v>0</v>
      </c>
      <c r="O107" s="137">
        <f t="shared" si="7"/>
        <v>0</v>
      </c>
    </row>
    <row r="108" spans="2:15" ht="15" hidden="1">
      <c r="B108" s="66"/>
      <c r="C108" s="69">
        <f t="shared" si="10"/>
        <v>15.079999999999998</v>
      </c>
      <c r="D108" s="32"/>
      <c r="E108" s="21"/>
      <c r="F108" s="8" t="s">
        <v>217</v>
      </c>
      <c r="G108" s="25">
        <v>0</v>
      </c>
      <c r="H108" s="18" t="s">
        <v>153</v>
      </c>
      <c r="I108" s="30">
        <v>25</v>
      </c>
      <c r="J108" s="30">
        <f t="shared" si="9"/>
        <v>0</v>
      </c>
      <c r="O108" s="137">
        <f t="shared" si="7"/>
        <v>0</v>
      </c>
    </row>
    <row r="109" spans="2:15" ht="15" hidden="1">
      <c r="B109" s="66"/>
      <c r="C109" s="69">
        <f t="shared" si="10"/>
        <v>15.089999999999998</v>
      </c>
      <c r="D109" s="32"/>
      <c r="E109" s="21"/>
      <c r="F109" s="70" t="s">
        <v>218</v>
      </c>
      <c r="G109" s="25">
        <v>0</v>
      </c>
      <c r="H109" s="18" t="s">
        <v>153</v>
      </c>
      <c r="I109" s="30">
        <v>150</v>
      </c>
      <c r="J109" s="30">
        <f t="shared" si="9"/>
        <v>0</v>
      </c>
      <c r="O109" s="137">
        <f t="shared" si="7"/>
        <v>0</v>
      </c>
    </row>
    <row r="110" spans="2:15" ht="15" hidden="1">
      <c r="B110" s="66"/>
      <c r="C110" s="69">
        <f t="shared" si="10"/>
        <v>15.099999999999998</v>
      </c>
      <c r="D110" s="32"/>
      <c r="E110" s="21"/>
      <c r="F110" s="8" t="s">
        <v>219</v>
      </c>
      <c r="G110" s="25">
        <v>0</v>
      </c>
      <c r="H110" s="18" t="s">
        <v>84</v>
      </c>
      <c r="I110" s="30">
        <v>150</v>
      </c>
      <c r="J110" s="30">
        <f t="shared" si="9"/>
        <v>0</v>
      </c>
      <c r="O110" s="137">
        <f t="shared" si="7"/>
        <v>0</v>
      </c>
    </row>
    <row r="111" spans="2:15" ht="15" hidden="1">
      <c r="B111" s="66"/>
      <c r="C111" s="69">
        <f t="shared" si="10"/>
        <v>15.109999999999998</v>
      </c>
      <c r="D111" s="32"/>
      <c r="E111" s="21"/>
      <c r="F111" s="8" t="s">
        <v>220</v>
      </c>
      <c r="G111" s="25">
        <v>3</v>
      </c>
      <c r="H111" s="18" t="s">
        <v>214</v>
      </c>
      <c r="I111" s="30">
        <v>400</v>
      </c>
      <c r="J111" s="30">
        <f t="shared" si="9"/>
        <v>1200</v>
      </c>
      <c r="O111" s="137">
        <f t="shared" si="7"/>
        <v>17.647058823529413</v>
      </c>
    </row>
    <row r="112" spans="2:15" ht="15" hidden="1">
      <c r="B112" s="66"/>
      <c r="C112" s="69">
        <f t="shared" si="10"/>
        <v>15.119999999999997</v>
      </c>
      <c r="D112" s="32"/>
      <c r="E112" s="21"/>
      <c r="F112" s="8" t="s">
        <v>221</v>
      </c>
      <c r="G112" s="25">
        <v>2</v>
      </c>
      <c r="H112" s="18" t="s">
        <v>84</v>
      </c>
      <c r="I112" s="30">
        <v>700</v>
      </c>
      <c r="J112" s="30">
        <f t="shared" si="9"/>
        <v>1400</v>
      </c>
      <c r="O112" s="137">
        <f t="shared" si="7"/>
        <v>20.588235294117649</v>
      </c>
    </row>
    <row r="113" spans="2:15" ht="15" hidden="1">
      <c r="B113" s="66"/>
      <c r="C113" s="69">
        <f t="shared" si="10"/>
        <v>15.129999999999997</v>
      </c>
      <c r="D113" s="32"/>
      <c r="E113" s="21"/>
      <c r="F113" s="8" t="s">
        <v>222</v>
      </c>
      <c r="G113" s="25">
        <v>0</v>
      </c>
      <c r="H113" s="18" t="s">
        <v>84</v>
      </c>
      <c r="I113" s="30">
        <v>800</v>
      </c>
      <c r="J113" s="30">
        <f t="shared" si="9"/>
        <v>0</v>
      </c>
      <c r="O113" s="137">
        <f t="shared" si="7"/>
        <v>0</v>
      </c>
    </row>
    <row r="114" spans="2:15" ht="15" hidden="1">
      <c r="B114" s="66"/>
      <c r="C114" s="69">
        <f t="shared" si="10"/>
        <v>15.139999999999997</v>
      </c>
      <c r="D114" s="32"/>
      <c r="E114" s="21"/>
      <c r="F114" s="8" t="s">
        <v>223</v>
      </c>
      <c r="G114" s="25">
        <v>0</v>
      </c>
      <c r="H114" s="18" t="s">
        <v>153</v>
      </c>
      <c r="I114" s="30">
        <v>800</v>
      </c>
      <c r="J114" s="30">
        <f t="shared" si="9"/>
        <v>0</v>
      </c>
      <c r="O114" s="137">
        <f t="shared" si="7"/>
        <v>0</v>
      </c>
    </row>
    <row r="115" spans="2:15" ht="15" hidden="1">
      <c r="B115" s="66"/>
      <c r="C115" s="69">
        <f t="shared" si="10"/>
        <v>15.149999999999997</v>
      </c>
      <c r="D115" s="32"/>
      <c r="E115" s="21"/>
      <c r="F115" s="8" t="s">
        <v>224</v>
      </c>
      <c r="G115" s="25">
        <v>5</v>
      </c>
      <c r="H115" s="18" t="s">
        <v>84</v>
      </c>
      <c r="I115" s="30">
        <v>13000</v>
      </c>
      <c r="J115" s="30">
        <f t="shared" si="9"/>
        <v>65000</v>
      </c>
      <c r="O115" s="137">
        <f t="shared" si="7"/>
        <v>955.88235294117646</v>
      </c>
    </row>
    <row r="116" spans="2:15" ht="15" hidden="1">
      <c r="B116" s="66"/>
      <c r="C116" s="69">
        <f t="shared" si="10"/>
        <v>15.159999999999997</v>
      </c>
      <c r="D116" s="32"/>
      <c r="E116" s="21"/>
      <c r="F116" s="8" t="s">
        <v>225</v>
      </c>
      <c r="G116" s="25">
        <v>10</v>
      </c>
      <c r="H116" s="18" t="s">
        <v>153</v>
      </c>
      <c r="I116" s="30">
        <v>700</v>
      </c>
      <c r="J116" s="30">
        <f t="shared" si="9"/>
        <v>7000</v>
      </c>
      <c r="K116" s="35"/>
      <c r="L116" s="63"/>
      <c r="M116" s="63"/>
      <c r="O116" s="137">
        <f t="shared" si="7"/>
        <v>102.94117647058823</v>
      </c>
    </row>
    <row r="117" spans="2:15" ht="15" hidden="1">
      <c r="B117" s="66"/>
      <c r="C117" s="69">
        <f t="shared" si="10"/>
        <v>15.169999999999996</v>
      </c>
      <c r="D117" s="32"/>
      <c r="E117" s="21"/>
      <c r="F117" s="8" t="s">
        <v>226</v>
      </c>
      <c r="G117" s="25">
        <v>1</v>
      </c>
      <c r="H117" s="18" t="s">
        <v>153</v>
      </c>
      <c r="I117" s="30">
        <v>3000</v>
      </c>
      <c r="J117" s="30">
        <f t="shared" si="9"/>
        <v>3000</v>
      </c>
      <c r="N117" s="35"/>
      <c r="O117" s="137">
        <f t="shared" si="7"/>
        <v>44.117647058823529</v>
      </c>
    </row>
    <row r="118" spans="2:15" ht="15" hidden="1">
      <c r="B118" s="65" t="s">
        <v>227</v>
      </c>
      <c r="C118" s="100"/>
      <c r="D118" s="32"/>
      <c r="E118" s="21"/>
      <c r="F118" s="8"/>
      <c r="G118" s="26"/>
      <c r="H118" s="18"/>
      <c r="I118" s="17"/>
      <c r="J118" s="17"/>
      <c r="O118" s="137">
        <f t="shared" si="7"/>
        <v>0</v>
      </c>
    </row>
    <row r="119" spans="2:15" s="63" customFormat="1" ht="20.100000000000001" customHeight="1">
      <c r="B119" s="211" t="s">
        <v>228</v>
      </c>
      <c r="C119" s="212">
        <v>16</v>
      </c>
      <c r="D119" s="222"/>
      <c r="E119" s="226"/>
      <c r="F119" s="227" t="s">
        <v>229</v>
      </c>
      <c r="G119" s="213">
        <v>1</v>
      </c>
      <c r="H119" s="211" t="s">
        <v>88</v>
      </c>
      <c r="I119" s="137">
        <f>IF(G119&gt;=1, J119/G119, 0)</f>
        <v>102109.2255499999</v>
      </c>
      <c r="J119" s="137">
        <f>SUM(J120:J150)</f>
        <v>102109.2255499999</v>
      </c>
      <c r="K119"/>
      <c r="L119"/>
      <c r="M119"/>
      <c r="N119"/>
      <c r="O119" s="137">
        <f t="shared" si="7"/>
        <v>1501.6062580882337</v>
      </c>
    </row>
    <row r="120" spans="2:15" ht="15" hidden="1">
      <c r="B120" s="66"/>
      <c r="C120" s="17">
        <v>16.010000000000002</v>
      </c>
      <c r="D120" s="32"/>
      <c r="E120" s="21"/>
      <c r="F120" s="8" t="s">
        <v>230</v>
      </c>
      <c r="G120" s="18">
        <f>11+9.5+7</f>
        <v>27.5</v>
      </c>
      <c r="H120" s="18" t="s">
        <v>75</v>
      </c>
      <c r="I120" s="30">
        <v>220</v>
      </c>
      <c r="J120" s="30">
        <f>I120*G120</f>
        <v>6050</v>
      </c>
      <c r="O120" s="137">
        <f t="shared" si="7"/>
        <v>88.970588235294116</v>
      </c>
    </row>
    <row r="121" spans="2:15" ht="15" hidden="1">
      <c r="B121" s="66"/>
      <c r="C121" s="17">
        <f>C120+0.01</f>
        <v>16.020000000000003</v>
      </c>
      <c r="D121" s="32"/>
      <c r="E121" s="21"/>
      <c r="F121" s="8" t="s">
        <v>231</v>
      </c>
      <c r="G121" s="18">
        <v>1</v>
      </c>
      <c r="H121" s="18" t="s">
        <v>84</v>
      </c>
      <c r="I121" s="30">
        <v>1800</v>
      </c>
      <c r="J121" s="30">
        <f t="shared" ref="J121" si="11">I121*G121</f>
        <v>1800</v>
      </c>
      <c r="O121" s="137">
        <f t="shared" si="7"/>
        <v>26.470588235294116</v>
      </c>
    </row>
    <row r="122" spans="2:15" ht="15" hidden="1">
      <c r="B122" s="66"/>
      <c r="C122" s="17">
        <f t="shared" ref="C122:C150" si="12">C121+0.01</f>
        <v>16.030000000000005</v>
      </c>
      <c r="D122" s="32"/>
      <c r="E122" s="21"/>
      <c r="F122" s="8" t="s">
        <v>232</v>
      </c>
      <c r="G122" s="18">
        <f>ESTIMATIONS!G114</f>
        <v>30</v>
      </c>
      <c r="H122" s="18" t="str">
        <f>ESTIMATIONS!H114</f>
        <v>m</v>
      </c>
      <c r="I122" s="30">
        <v>70</v>
      </c>
      <c r="J122" s="30">
        <f>I122*G122</f>
        <v>2100</v>
      </c>
      <c r="O122" s="137">
        <f t="shared" si="7"/>
        <v>30.882352941176471</v>
      </c>
    </row>
    <row r="123" spans="2:15" ht="15" hidden="1">
      <c r="B123" s="66"/>
      <c r="C123" s="17">
        <f t="shared" si="12"/>
        <v>16.040000000000006</v>
      </c>
      <c r="D123" s="32"/>
      <c r="E123" s="21"/>
      <c r="F123" s="8" t="s">
        <v>233</v>
      </c>
      <c r="G123" s="18">
        <f>ESTIMATIONS!G115</f>
        <v>93</v>
      </c>
      <c r="H123" s="18" t="str">
        <f>ESTIMATIONS!H115</f>
        <v>m</v>
      </c>
      <c r="I123" s="30">
        <v>60</v>
      </c>
      <c r="J123" s="30">
        <f t="shared" ref="J123:J150" si="13">I123*G123</f>
        <v>5580</v>
      </c>
      <c r="O123" s="137">
        <f t="shared" si="7"/>
        <v>82.058823529411768</v>
      </c>
    </row>
    <row r="124" spans="2:15" ht="15" hidden="1">
      <c r="B124" s="66"/>
      <c r="C124" s="17">
        <f t="shared" si="12"/>
        <v>16.050000000000008</v>
      </c>
      <c r="D124" s="32"/>
      <c r="E124" s="21"/>
      <c r="F124" s="8" t="s">
        <v>234</v>
      </c>
      <c r="G124" s="18">
        <f>ESTIMATIONS!G116</f>
        <v>49</v>
      </c>
      <c r="H124" s="18" t="str">
        <f>ESTIMATIONS!H116</f>
        <v>m</v>
      </c>
      <c r="I124" s="30">
        <v>55</v>
      </c>
      <c r="J124" s="30">
        <f t="shared" si="13"/>
        <v>2695</v>
      </c>
      <c r="O124" s="137">
        <f t="shared" si="7"/>
        <v>39.632352941176471</v>
      </c>
    </row>
    <row r="125" spans="2:15" ht="15" hidden="1">
      <c r="B125" s="66"/>
      <c r="C125" s="17">
        <f t="shared" si="12"/>
        <v>16.060000000000009</v>
      </c>
      <c r="D125" s="32"/>
      <c r="E125" s="21"/>
      <c r="F125" s="8" t="s">
        <v>235</v>
      </c>
      <c r="G125" s="18">
        <f>ESTIMATIONS!G117</f>
        <v>41</v>
      </c>
      <c r="H125" s="18" t="str">
        <f>ESTIMATIONS!H117</f>
        <v>m</v>
      </c>
      <c r="I125" s="30">
        <v>45</v>
      </c>
      <c r="J125" s="30">
        <f t="shared" si="13"/>
        <v>1845</v>
      </c>
      <c r="O125" s="137">
        <f t="shared" si="7"/>
        <v>27.132352941176471</v>
      </c>
    </row>
    <row r="126" spans="2:15" ht="15" hidden="1">
      <c r="B126" s="66"/>
      <c r="C126" s="17">
        <f t="shared" si="12"/>
        <v>16.070000000000011</v>
      </c>
      <c r="D126" s="32"/>
      <c r="E126" s="21"/>
      <c r="F126" s="8" t="s">
        <v>236</v>
      </c>
      <c r="G126" s="18">
        <f>ESTIMATIONS!G118</f>
        <v>24</v>
      </c>
      <c r="H126" s="18" t="str">
        <f>ESTIMATIONS!H118</f>
        <v>m</v>
      </c>
      <c r="I126" s="30">
        <v>65</v>
      </c>
      <c r="J126" s="30">
        <f t="shared" si="13"/>
        <v>1560</v>
      </c>
      <c r="O126" s="137">
        <f t="shared" si="7"/>
        <v>22.941176470588236</v>
      </c>
    </row>
    <row r="127" spans="2:15" ht="15" hidden="1">
      <c r="B127" s="66"/>
      <c r="C127" s="17">
        <f t="shared" si="12"/>
        <v>16.080000000000013</v>
      </c>
      <c r="D127" s="32"/>
      <c r="E127" s="21"/>
      <c r="F127" s="8" t="s">
        <v>237</v>
      </c>
      <c r="G127" s="18">
        <f>ESTIMATIONS!G119</f>
        <v>80</v>
      </c>
      <c r="H127" s="18" t="str">
        <f>ESTIMATIONS!H119</f>
        <v>m</v>
      </c>
      <c r="I127" s="30">
        <v>50</v>
      </c>
      <c r="J127" s="30">
        <f t="shared" si="13"/>
        <v>4000</v>
      </c>
      <c r="O127" s="137">
        <f t="shared" si="7"/>
        <v>58.823529411764703</v>
      </c>
    </row>
    <row r="128" spans="2:15" ht="15" hidden="1">
      <c r="B128" s="66"/>
      <c r="C128" s="17">
        <f t="shared" si="12"/>
        <v>16.090000000000014</v>
      </c>
      <c r="D128" s="32"/>
      <c r="E128" s="21"/>
      <c r="F128" s="8" t="str">
        <f>ESTIMATIONS!B120</f>
        <v>Hand washing sinks with high quality brass lever faucet, mirror and accessories</v>
      </c>
      <c r="G128" s="18">
        <f>ESTIMATIONS!G120</f>
        <v>7</v>
      </c>
      <c r="H128" s="18" t="str">
        <f>ESTIMATIONS!H120</f>
        <v>Set</v>
      </c>
      <c r="I128" s="30">
        <v>1400</v>
      </c>
      <c r="J128" s="30">
        <f t="shared" si="13"/>
        <v>9800</v>
      </c>
      <c r="O128" s="137">
        <f t="shared" si="7"/>
        <v>144.11764705882354</v>
      </c>
    </row>
    <row r="129" spans="2:15" ht="15" hidden="1">
      <c r="B129" s="66"/>
      <c r="C129" s="17">
        <f t="shared" si="12"/>
        <v>16.100000000000016</v>
      </c>
      <c r="D129" s="32"/>
      <c r="E129" s="21"/>
      <c r="F129" s="8" t="str">
        <f>ESTIMATIONS!B121</f>
        <v>High quality brass lever faucets</v>
      </c>
      <c r="G129" s="18">
        <v>12</v>
      </c>
      <c r="H129" s="18" t="str">
        <f>ESTIMATIONS!H121</f>
        <v>No</v>
      </c>
      <c r="I129" s="30">
        <v>150</v>
      </c>
      <c r="J129" s="30">
        <f t="shared" si="13"/>
        <v>1800</v>
      </c>
      <c r="O129" s="137">
        <f t="shared" si="7"/>
        <v>26.470588235294116</v>
      </c>
    </row>
    <row r="130" spans="2:15" ht="15" hidden="1">
      <c r="B130" s="66"/>
      <c r="C130" s="17">
        <f t="shared" si="12"/>
        <v>16.110000000000017</v>
      </c>
      <c r="D130" s="32"/>
      <c r="E130" s="21"/>
      <c r="F130" s="8" t="str">
        <f>ESTIMATIONS!B122</f>
        <v>Electrical water boiler 80 litre, Arabic super Aquahot with all spares</v>
      </c>
      <c r="G130" s="18">
        <f>ESTIMATIONS!G122</f>
        <v>1</v>
      </c>
      <c r="H130" s="18" t="str">
        <f>ESTIMATIONS!H122</f>
        <v>No</v>
      </c>
      <c r="I130" s="30">
        <v>15000</v>
      </c>
      <c r="J130" s="30">
        <f t="shared" si="13"/>
        <v>15000</v>
      </c>
      <c r="O130" s="137">
        <f t="shared" si="7"/>
        <v>220.58823529411765</v>
      </c>
    </row>
    <row r="131" spans="2:15" ht="15" hidden="1">
      <c r="B131" s="66"/>
      <c r="C131" s="17">
        <f t="shared" si="12"/>
        <v>16.120000000000019</v>
      </c>
      <c r="D131" s="32"/>
      <c r="E131" s="21"/>
      <c r="F131" s="8" t="s">
        <v>238</v>
      </c>
      <c r="G131" s="18">
        <v>15</v>
      </c>
      <c r="H131" s="18" t="s">
        <v>153</v>
      </c>
      <c r="I131" s="30">
        <v>20</v>
      </c>
      <c r="J131" s="30">
        <f t="shared" si="13"/>
        <v>300</v>
      </c>
      <c r="O131" s="137">
        <f t="shared" si="7"/>
        <v>4.4117647058823533</v>
      </c>
    </row>
    <row r="132" spans="2:15" ht="15" hidden="1">
      <c r="B132" s="66"/>
      <c r="C132" s="17">
        <f t="shared" si="12"/>
        <v>16.13000000000002</v>
      </c>
      <c r="D132" s="32"/>
      <c r="E132" s="21"/>
      <c r="F132" s="8" t="s">
        <v>239</v>
      </c>
      <c r="G132" s="18">
        <v>18</v>
      </c>
      <c r="H132" s="18" t="s">
        <v>153</v>
      </c>
      <c r="I132" s="30">
        <v>10</v>
      </c>
      <c r="J132" s="30">
        <f t="shared" si="13"/>
        <v>180</v>
      </c>
      <c r="O132" s="137">
        <f t="shared" si="7"/>
        <v>2.6470588235294117</v>
      </c>
    </row>
    <row r="133" spans="2:15" ht="15" hidden="1">
      <c r="B133" s="66"/>
      <c r="C133" s="17">
        <f t="shared" si="12"/>
        <v>16.140000000000022</v>
      </c>
      <c r="D133" s="32"/>
      <c r="E133" s="21"/>
      <c r="F133" s="8" t="s">
        <v>240</v>
      </c>
      <c r="G133" s="18">
        <v>15</v>
      </c>
      <c r="H133" s="18" t="s">
        <v>153</v>
      </c>
      <c r="I133" s="30">
        <v>20</v>
      </c>
      <c r="J133" s="30">
        <f t="shared" si="13"/>
        <v>300</v>
      </c>
      <c r="O133" s="137">
        <f t="shared" si="7"/>
        <v>4.4117647058823533</v>
      </c>
    </row>
    <row r="134" spans="2:15" ht="15" hidden="1">
      <c r="B134" s="66"/>
      <c r="C134" s="17">
        <f t="shared" si="12"/>
        <v>16.150000000000023</v>
      </c>
      <c r="D134" s="32"/>
      <c r="E134" s="21"/>
      <c r="F134" s="8" t="s">
        <v>241</v>
      </c>
      <c r="G134" s="18">
        <v>12</v>
      </c>
      <c r="H134" s="18" t="s">
        <v>153</v>
      </c>
      <c r="I134" s="30">
        <v>10</v>
      </c>
      <c r="J134" s="30">
        <f t="shared" si="13"/>
        <v>120</v>
      </c>
      <c r="O134" s="137">
        <f t="shared" si="7"/>
        <v>1.7647058823529411</v>
      </c>
    </row>
    <row r="135" spans="2:15" ht="15" hidden="1">
      <c r="B135" s="66"/>
      <c r="C135" s="17">
        <f t="shared" si="12"/>
        <v>16.160000000000025</v>
      </c>
      <c r="D135" s="32"/>
      <c r="E135" s="21"/>
      <c r="F135" s="8" t="s">
        <v>242</v>
      </c>
      <c r="G135" s="18">
        <v>10</v>
      </c>
      <c r="H135" s="18" t="s">
        <v>153</v>
      </c>
      <c r="I135" s="30">
        <v>10</v>
      </c>
      <c r="J135" s="30">
        <f t="shared" si="13"/>
        <v>100</v>
      </c>
      <c r="O135" s="137">
        <f t="shared" si="7"/>
        <v>1.4705882352941178</v>
      </c>
    </row>
    <row r="136" spans="2:15" ht="15" hidden="1">
      <c r="B136" s="66"/>
      <c r="C136" s="17">
        <f t="shared" si="12"/>
        <v>16.170000000000027</v>
      </c>
      <c r="D136" s="32"/>
      <c r="E136" s="21"/>
      <c r="F136" s="8" t="s">
        <v>243</v>
      </c>
      <c r="G136" s="18">
        <v>1</v>
      </c>
      <c r="H136" s="18" t="s">
        <v>244</v>
      </c>
      <c r="I136" s="30">
        <v>80</v>
      </c>
      <c r="J136" s="30">
        <f t="shared" si="13"/>
        <v>80</v>
      </c>
      <c r="O136" s="137">
        <f t="shared" si="7"/>
        <v>1.1764705882352942</v>
      </c>
    </row>
    <row r="137" spans="2:15" ht="15" hidden="1">
      <c r="B137" s="66"/>
      <c r="C137" s="17">
        <f t="shared" si="12"/>
        <v>16.180000000000028</v>
      </c>
      <c r="D137" s="32"/>
      <c r="E137" s="21"/>
      <c r="F137" s="8" t="s">
        <v>243</v>
      </c>
      <c r="G137" s="18">
        <v>1</v>
      </c>
      <c r="H137" s="18" t="s">
        <v>244</v>
      </c>
      <c r="I137" s="30">
        <v>80</v>
      </c>
      <c r="J137" s="30">
        <f t="shared" si="13"/>
        <v>80</v>
      </c>
      <c r="O137" s="137">
        <f t="shared" si="7"/>
        <v>1.1764705882352942</v>
      </c>
    </row>
    <row r="138" spans="2:15" ht="15" hidden="1">
      <c r="B138" s="66"/>
      <c r="C138" s="17">
        <f t="shared" si="12"/>
        <v>16.19000000000003</v>
      </c>
      <c r="D138" s="32"/>
      <c r="E138" s="21"/>
      <c r="F138" s="8" t="s">
        <v>245</v>
      </c>
      <c r="G138" s="18">
        <v>23</v>
      </c>
      <c r="H138" s="18" t="s">
        <v>75</v>
      </c>
      <c r="I138" s="30">
        <v>200</v>
      </c>
      <c r="J138" s="30">
        <f t="shared" si="13"/>
        <v>4600</v>
      </c>
      <c r="O138" s="137">
        <f t="shared" si="7"/>
        <v>67.647058823529406</v>
      </c>
    </row>
    <row r="139" spans="2:15" ht="15" hidden="1">
      <c r="B139" s="66"/>
      <c r="C139" s="17">
        <f t="shared" si="12"/>
        <v>16.200000000000031</v>
      </c>
      <c r="D139" s="32"/>
      <c r="E139" s="21"/>
      <c r="F139" s="8" t="s">
        <v>246</v>
      </c>
      <c r="G139" s="18">
        <v>25</v>
      </c>
      <c r="H139" s="18" t="s">
        <v>75</v>
      </c>
      <c r="I139" s="30">
        <v>180</v>
      </c>
      <c r="J139" s="30">
        <f t="shared" si="13"/>
        <v>4500</v>
      </c>
      <c r="O139" s="137">
        <f t="shared" si="7"/>
        <v>66.17647058823529</v>
      </c>
    </row>
    <row r="140" spans="2:15" ht="15" hidden="1">
      <c r="B140" s="66"/>
      <c r="C140" s="17">
        <f t="shared" si="12"/>
        <v>16.210000000000033</v>
      </c>
      <c r="D140" s="32"/>
      <c r="E140" s="21"/>
      <c r="F140" s="8" t="s">
        <v>247</v>
      </c>
      <c r="G140" s="18">
        <v>6</v>
      </c>
      <c r="H140" s="18" t="s">
        <v>75</v>
      </c>
      <c r="I140" s="30">
        <v>110</v>
      </c>
      <c r="J140" s="30">
        <f t="shared" si="13"/>
        <v>660</v>
      </c>
      <c r="O140" s="137">
        <f t="shared" si="7"/>
        <v>9.7058823529411757</v>
      </c>
    </row>
    <row r="141" spans="2:15" ht="15" hidden="1">
      <c r="B141" s="66"/>
      <c r="C141" s="17">
        <f t="shared" si="12"/>
        <v>16.220000000000034</v>
      </c>
      <c r="D141" s="32"/>
      <c r="E141" s="21"/>
      <c r="F141" s="8" t="s">
        <v>248</v>
      </c>
      <c r="G141" s="18">
        <v>10</v>
      </c>
      <c r="H141" s="18" t="s">
        <v>244</v>
      </c>
      <c r="I141" s="30">
        <v>100</v>
      </c>
      <c r="J141" s="30">
        <f t="shared" si="13"/>
        <v>1000</v>
      </c>
      <c r="O141" s="137">
        <f t="shared" si="7"/>
        <v>14.705882352941176</v>
      </c>
    </row>
    <row r="142" spans="2:15" ht="15" hidden="1">
      <c r="B142" s="66"/>
      <c r="C142" s="17">
        <f t="shared" si="12"/>
        <v>16.230000000000036</v>
      </c>
      <c r="D142" s="32"/>
      <c r="E142" s="21"/>
      <c r="F142" s="8" t="s">
        <v>249</v>
      </c>
      <c r="G142" s="18">
        <v>6</v>
      </c>
      <c r="H142" s="18" t="s">
        <v>244</v>
      </c>
      <c r="I142" s="30">
        <v>85</v>
      </c>
      <c r="J142" s="30">
        <f t="shared" si="13"/>
        <v>510</v>
      </c>
      <c r="O142" s="137">
        <f t="shared" ref="O142:O198" si="14">J142/68</f>
        <v>7.5</v>
      </c>
    </row>
    <row r="143" spans="2:15" ht="15" hidden="1">
      <c r="B143" s="66"/>
      <c r="C143" s="17">
        <f t="shared" si="12"/>
        <v>16.240000000000038</v>
      </c>
      <c r="D143" s="32"/>
      <c r="E143" s="21"/>
      <c r="F143" s="8" t="s">
        <v>250</v>
      </c>
      <c r="G143" s="18">
        <v>1</v>
      </c>
      <c r="H143" s="18" t="s">
        <v>244</v>
      </c>
      <c r="I143" s="30">
        <v>100</v>
      </c>
      <c r="J143" s="30">
        <f t="shared" si="13"/>
        <v>100</v>
      </c>
      <c r="O143" s="137">
        <f t="shared" si="14"/>
        <v>1.4705882352941178</v>
      </c>
    </row>
    <row r="144" spans="2:15" ht="15" hidden="1">
      <c r="B144" s="66"/>
      <c r="C144" s="17">
        <f t="shared" si="12"/>
        <v>16.250000000000039</v>
      </c>
      <c r="D144" s="32"/>
      <c r="E144" s="21"/>
      <c r="F144" s="8" t="s">
        <v>251</v>
      </c>
      <c r="G144" s="18">
        <v>3</v>
      </c>
      <c r="H144" s="18" t="s">
        <v>244</v>
      </c>
      <c r="I144" s="30">
        <v>100</v>
      </c>
      <c r="J144" s="30">
        <f t="shared" si="13"/>
        <v>300</v>
      </c>
      <c r="O144" s="137">
        <f t="shared" si="14"/>
        <v>4.4117647058823533</v>
      </c>
    </row>
    <row r="145" spans="2:15" ht="15" hidden="1">
      <c r="B145" s="66"/>
      <c r="C145" s="17">
        <f t="shared" si="12"/>
        <v>16.260000000000041</v>
      </c>
      <c r="D145" s="32"/>
      <c r="E145" s="21"/>
      <c r="F145" s="8" t="s">
        <v>252</v>
      </c>
      <c r="G145" s="18">
        <v>12</v>
      </c>
      <c r="H145" s="18" t="s">
        <v>244</v>
      </c>
      <c r="I145" s="30">
        <v>40</v>
      </c>
      <c r="J145" s="30">
        <f t="shared" si="13"/>
        <v>480</v>
      </c>
      <c r="O145" s="137">
        <f t="shared" si="14"/>
        <v>7.0588235294117645</v>
      </c>
    </row>
    <row r="146" spans="2:15" ht="15" hidden="1">
      <c r="B146" s="66"/>
      <c r="C146" s="17">
        <f t="shared" si="12"/>
        <v>16.270000000000042</v>
      </c>
      <c r="D146" s="32"/>
      <c r="E146" s="21"/>
      <c r="F146" s="8" t="s">
        <v>253</v>
      </c>
      <c r="G146" s="18">
        <v>1</v>
      </c>
      <c r="H146" s="18" t="s">
        <v>244</v>
      </c>
      <c r="I146" s="30">
        <v>80</v>
      </c>
      <c r="J146" s="30">
        <f t="shared" si="13"/>
        <v>80</v>
      </c>
      <c r="O146" s="137">
        <f t="shared" si="14"/>
        <v>1.1764705882352942</v>
      </c>
    </row>
    <row r="147" spans="2:15" ht="15" hidden="1">
      <c r="B147" s="66"/>
      <c r="C147" s="17">
        <f t="shared" si="12"/>
        <v>16.280000000000044</v>
      </c>
      <c r="D147" s="32"/>
      <c r="E147" s="21"/>
      <c r="F147" s="8" t="s">
        <v>254</v>
      </c>
      <c r="G147" s="18">
        <v>6</v>
      </c>
      <c r="H147" s="18" t="s">
        <v>75</v>
      </c>
      <c r="I147" s="30">
        <v>125</v>
      </c>
      <c r="J147" s="30">
        <f t="shared" si="13"/>
        <v>750</v>
      </c>
      <c r="O147" s="137">
        <f t="shared" si="14"/>
        <v>11.029411764705882</v>
      </c>
    </row>
    <row r="148" spans="2:15" ht="15" hidden="1">
      <c r="B148" s="66"/>
      <c r="C148" s="17">
        <f t="shared" si="12"/>
        <v>16.290000000000045</v>
      </c>
      <c r="D148" s="32"/>
      <c r="E148" s="21"/>
      <c r="F148" s="8" t="s">
        <v>255</v>
      </c>
      <c r="G148" s="18">
        <v>60</v>
      </c>
      <c r="H148" s="18" t="s">
        <v>11</v>
      </c>
      <c r="I148" s="30">
        <v>150</v>
      </c>
      <c r="J148" s="30">
        <f t="shared" si="13"/>
        <v>9000</v>
      </c>
      <c r="O148" s="137">
        <f t="shared" si="14"/>
        <v>132.35294117647058</v>
      </c>
    </row>
    <row r="149" spans="2:15" ht="15" hidden="1">
      <c r="B149" s="66"/>
      <c r="C149" s="17">
        <f t="shared" si="12"/>
        <v>16.300000000000047</v>
      </c>
      <c r="D149" s="32"/>
      <c r="E149" s="21"/>
      <c r="F149" s="8" t="s">
        <v>256</v>
      </c>
      <c r="G149" s="18">
        <v>15</v>
      </c>
      <c r="H149" s="18" t="s">
        <v>11</v>
      </c>
      <c r="I149" s="30">
        <v>35</v>
      </c>
      <c r="J149" s="30">
        <f t="shared" si="13"/>
        <v>525</v>
      </c>
      <c r="O149" s="137">
        <f t="shared" si="14"/>
        <v>7.7205882352941178</v>
      </c>
    </row>
    <row r="150" spans="2:15" ht="14.25" hidden="1" customHeight="1">
      <c r="B150" s="99"/>
      <c r="C150" s="17">
        <f t="shared" si="12"/>
        <v>16.310000000000048</v>
      </c>
      <c r="D150" s="103"/>
      <c r="E150" s="24"/>
      <c r="F150" s="8" t="s">
        <v>139</v>
      </c>
      <c r="G150" s="18">
        <v>1</v>
      </c>
      <c r="H150" s="18" t="s">
        <v>88</v>
      </c>
      <c r="I150" s="145">
        <v>26214.225549999901</v>
      </c>
      <c r="J150" s="30">
        <f t="shared" si="13"/>
        <v>26214.225549999901</v>
      </c>
      <c r="O150" s="137">
        <f t="shared" si="14"/>
        <v>385.50331691176325</v>
      </c>
    </row>
    <row r="151" spans="2:15" ht="15" hidden="1">
      <c r="B151" s="104" t="s">
        <v>257</v>
      </c>
      <c r="C151" s="69"/>
      <c r="D151" s="103"/>
      <c r="E151" s="24"/>
      <c r="F151" s="8"/>
      <c r="G151" s="26"/>
      <c r="H151" s="18"/>
      <c r="I151" s="105"/>
      <c r="J151" s="106"/>
      <c r="O151" s="137">
        <f t="shared" si="14"/>
        <v>0</v>
      </c>
    </row>
    <row r="152" spans="2:15" ht="20.100000000000001" hidden="1" customHeight="1">
      <c r="B152" s="211" t="s">
        <v>258</v>
      </c>
      <c r="C152" s="212">
        <v>17</v>
      </c>
      <c r="D152" s="222"/>
      <c r="E152" s="211"/>
      <c r="F152" s="224" t="s">
        <v>259</v>
      </c>
      <c r="G152" s="213">
        <v>1</v>
      </c>
      <c r="H152" s="211" t="s">
        <v>88</v>
      </c>
      <c r="I152" s="218">
        <f>IF(G152&gt;=1, J152/G152, 0)</f>
        <v>0</v>
      </c>
      <c r="J152" s="218">
        <f>SUM(J153:J157)</f>
        <v>0</v>
      </c>
      <c r="O152" s="137">
        <f t="shared" si="14"/>
        <v>0</v>
      </c>
    </row>
    <row r="153" spans="2:15" ht="15" hidden="1">
      <c r="B153" s="66"/>
      <c r="C153" s="100">
        <v>17.010000000000002</v>
      </c>
      <c r="D153" s="32"/>
      <c r="E153" s="21"/>
      <c r="F153" s="8" t="s">
        <v>260</v>
      </c>
      <c r="G153" s="18">
        <v>0</v>
      </c>
      <c r="H153" s="18" t="s">
        <v>75</v>
      </c>
      <c r="I153" s="30">
        <v>42</v>
      </c>
      <c r="J153" s="30">
        <f t="shared" ref="J153:J157" si="15">I153*G153</f>
        <v>0</v>
      </c>
      <c r="O153" s="137">
        <f t="shared" si="14"/>
        <v>0</v>
      </c>
    </row>
    <row r="154" spans="2:15" ht="15" hidden="1">
      <c r="B154" s="67"/>
      <c r="C154" s="100">
        <v>17.02</v>
      </c>
      <c r="D154" s="32"/>
      <c r="E154" s="21"/>
      <c r="F154" s="8" t="s">
        <v>261</v>
      </c>
      <c r="G154" s="18">
        <v>0</v>
      </c>
      <c r="H154" s="18" t="s">
        <v>153</v>
      </c>
      <c r="I154" s="30">
        <v>42</v>
      </c>
      <c r="J154" s="30">
        <f t="shared" si="15"/>
        <v>0</v>
      </c>
      <c r="O154" s="137">
        <f t="shared" si="14"/>
        <v>0</v>
      </c>
    </row>
    <row r="155" spans="2:15" ht="15" hidden="1">
      <c r="B155" s="67"/>
      <c r="C155" s="100">
        <v>17.03</v>
      </c>
      <c r="D155" s="32"/>
      <c r="E155" s="21"/>
      <c r="F155" s="8" t="s">
        <v>262</v>
      </c>
      <c r="G155" s="18">
        <v>0</v>
      </c>
      <c r="H155" s="18" t="s">
        <v>153</v>
      </c>
      <c r="I155" s="30">
        <v>42</v>
      </c>
      <c r="J155" s="30">
        <f t="shared" si="15"/>
        <v>0</v>
      </c>
      <c r="O155" s="137">
        <f t="shared" si="14"/>
        <v>0</v>
      </c>
    </row>
    <row r="156" spans="2:15" ht="15.75" hidden="1">
      <c r="B156" s="93"/>
      <c r="C156" s="100">
        <v>17.05</v>
      </c>
      <c r="D156" s="32"/>
      <c r="E156" s="21"/>
      <c r="F156" s="8" t="s">
        <v>263</v>
      </c>
      <c r="G156" s="18">
        <v>0</v>
      </c>
      <c r="H156" s="18" t="s">
        <v>153</v>
      </c>
      <c r="I156" s="30">
        <v>60</v>
      </c>
      <c r="J156" s="30">
        <f t="shared" si="15"/>
        <v>0</v>
      </c>
      <c r="O156" s="137">
        <f t="shared" si="14"/>
        <v>0</v>
      </c>
    </row>
    <row r="157" spans="2:15" ht="15.75" hidden="1">
      <c r="B157" s="93"/>
      <c r="C157" s="100">
        <v>17.059999999999999</v>
      </c>
      <c r="D157" s="32"/>
      <c r="E157" s="21"/>
      <c r="F157" s="8" t="s">
        <v>264</v>
      </c>
      <c r="G157" s="18">
        <v>0</v>
      </c>
      <c r="H157" s="18" t="s">
        <v>88</v>
      </c>
      <c r="I157" s="30">
        <v>2500</v>
      </c>
      <c r="J157" s="30">
        <f t="shared" si="15"/>
        <v>0</v>
      </c>
      <c r="O157" s="137">
        <f t="shared" si="14"/>
        <v>0</v>
      </c>
    </row>
    <row r="158" spans="2:15" ht="20.100000000000001" hidden="1" customHeight="1">
      <c r="B158" s="211" t="s">
        <v>265</v>
      </c>
      <c r="C158" s="212">
        <v>18</v>
      </c>
      <c r="D158" s="216"/>
      <c r="E158" s="219"/>
      <c r="F158" s="228" t="s">
        <v>266</v>
      </c>
      <c r="G158" s="213">
        <v>1</v>
      </c>
      <c r="H158" s="211" t="s">
        <v>88</v>
      </c>
      <c r="I158" s="218">
        <f>IF(G158&gt;=1, J158/G158, 0)</f>
        <v>0</v>
      </c>
      <c r="J158" s="218">
        <f>SUM(J159:J164)</f>
        <v>0</v>
      </c>
      <c r="N158" s="1"/>
      <c r="O158" s="137">
        <f t="shared" si="14"/>
        <v>0</v>
      </c>
    </row>
    <row r="159" spans="2:15" ht="15" hidden="1">
      <c r="B159" s="67"/>
      <c r="C159" s="17">
        <v>18.010000000000002</v>
      </c>
      <c r="D159" s="34"/>
      <c r="E159" s="20"/>
      <c r="F159" s="8" t="s">
        <v>267</v>
      </c>
      <c r="G159" s="18">
        <v>0</v>
      </c>
      <c r="H159" s="17" t="s">
        <v>11</v>
      </c>
      <c r="I159" s="30">
        <v>250</v>
      </c>
      <c r="J159" s="30">
        <f t="shared" ref="J159:J164" si="16">I159*G159</f>
        <v>0</v>
      </c>
      <c r="O159" s="137">
        <f t="shared" si="14"/>
        <v>0</v>
      </c>
    </row>
    <row r="160" spans="2:15" ht="15" hidden="1">
      <c r="B160" s="67"/>
      <c r="C160" s="17">
        <v>18.02</v>
      </c>
      <c r="D160" s="34"/>
      <c r="E160" s="20"/>
      <c r="F160" s="8" t="s">
        <v>268</v>
      </c>
      <c r="G160" s="18">
        <v>0</v>
      </c>
      <c r="H160" s="18" t="s">
        <v>84</v>
      </c>
      <c r="I160" s="30">
        <v>200</v>
      </c>
      <c r="J160" s="30">
        <f t="shared" si="16"/>
        <v>0</v>
      </c>
      <c r="O160" s="137">
        <f t="shared" si="14"/>
        <v>0</v>
      </c>
    </row>
    <row r="161" spans="2:15" ht="15" hidden="1">
      <c r="B161" s="67"/>
      <c r="C161" s="17">
        <v>18.03</v>
      </c>
      <c r="D161" s="34"/>
      <c r="E161" s="20"/>
      <c r="F161" s="8" t="s">
        <v>269</v>
      </c>
      <c r="G161" s="18">
        <v>0</v>
      </c>
      <c r="H161" s="17" t="s">
        <v>75</v>
      </c>
      <c r="I161" s="30">
        <v>220</v>
      </c>
      <c r="J161" s="30">
        <f t="shared" si="16"/>
        <v>0</v>
      </c>
      <c r="O161" s="137">
        <f t="shared" si="14"/>
        <v>0</v>
      </c>
    </row>
    <row r="162" spans="2:15" ht="20.25" hidden="1">
      <c r="B162" s="67"/>
      <c r="C162" s="17">
        <v>18.04</v>
      </c>
      <c r="D162" s="34"/>
      <c r="E162" s="20"/>
      <c r="F162" s="8" t="s">
        <v>270</v>
      </c>
      <c r="G162" s="18">
        <v>0</v>
      </c>
      <c r="H162" s="17" t="s">
        <v>84</v>
      </c>
      <c r="I162" s="30">
        <v>2000</v>
      </c>
      <c r="J162" s="30">
        <f t="shared" si="16"/>
        <v>0</v>
      </c>
      <c r="O162" s="137">
        <f t="shared" si="14"/>
        <v>0</v>
      </c>
    </row>
    <row r="163" spans="2:15" ht="15" hidden="1">
      <c r="B163" s="67"/>
      <c r="C163" s="17">
        <v>18.05</v>
      </c>
      <c r="D163" s="34"/>
      <c r="E163" s="20"/>
      <c r="F163" s="8" t="s">
        <v>271</v>
      </c>
      <c r="G163" s="18">
        <v>0</v>
      </c>
      <c r="H163" s="17" t="s">
        <v>75</v>
      </c>
      <c r="I163" s="30">
        <v>200</v>
      </c>
      <c r="J163" s="30">
        <f t="shared" si="16"/>
        <v>0</v>
      </c>
      <c r="O163" s="137">
        <f t="shared" si="14"/>
        <v>0</v>
      </c>
    </row>
    <row r="164" spans="2:15" ht="15" hidden="1">
      <c r="B164" s="67"/>
      <c r="C164" s="17">
        <v>18.059999999999999</v>
      </c>
      <c r="D164" s="34"/>
      <c r="E164" s="20"/>
      <c r="F164" s="8" t="s">
        <v>206</v>
      </c>
      <c r="G164" s="18">
        <v>0</v>
      </c>
      <c r="H164" s="18" t="s">
        <v>88</v>
      </c>
      <c r="I164" s="30">
        <v>5000</v>
      </c>
      <c r="J164" s="30">
        <f t="shared" si="16"/>
        <v>0</v>
      </c>
      <c r="O164" s="137">
        <f t="shared" si="14"/>
        <v>0</v>
      </c>
    </row>
    <row r="165" spans="2:15" ht="20.100000000000001" hidden="1" customHeight="1">
      <c r="B165" s="211" t="s">
        <v>272</v>
      </c>
      <c r="C165" s="212">
        <v>19</v>
      </c>
      <c r="D165" s="222"/>
      <c r="E165" s="211"/>
      <c r="F165" s="224" t="s">
        <v>273</v>
      </c>
      <c r="G165" s="213">
        <v>1</v>
      </c>
      <c r="H165" s="211" t="s">
        <v>180</v>
      </c>
      <c r="I165" s="218">
        <f>IF(G165&gt;=1, J165/G165, 0)</f>
        <v>0</v>
      </c>
      <c r="J165" s="218">
        <f>SUM(J166:J171)</f>
        <v>0</v>
      </c>
      <c r="O165" s="137">
        <f t="shared" si="14"/>
        <v>0</v>
      </c>
    </row>
    <row r="166" spans="2:15" ht="15" hidden="1">
      <c r="B166" s="67"/>
      <c r="C166" s="18">
        <v>19.010000000000002</v>
      </c>
      <c r="D166" s="33"/>
      <c r="E166" s="21"/>
      <c r="F166" s="8" t="s">
        <v>274</v>
      </c>
      <c r="G166" s="18">
        <v>0</v>
      </c>
      <c r="H166" s="18" t="s">
        <v>75</v>
      </c>
      <c r="I166" s="30">
        <v>200</v>
      </c>
      <c r="J166" s="30">
        <f>I166*G166</f>
        <v>0</v>
      </c>
      <c r="O166" s="137">
        <f t="shared" si="14"/>
        <v>0</v>
      </c>
    </row>
    <row r="167" spans="2:15" ht="15" hidden="1">
      <c r="B167" s="67"/>
      <c r="C167" s="18">
        <v>19.02</v>
      </c>
      <c r="D167" s="33"/>
      <c r="E167" s="21"/>
      <c r="F167" s="8" t="s">
        <v>275</v>
      </c>
      <c r="G167" s="18">
        <v>0</v>
      </c>
      <c r="H167" s="18" t="s">
        <v>11</v>
      </c>
      <c r="I167" s="30">
        <v>80</v>
      </c>
      <c r="J167" s="30">
        <f>I167*G167</f>
        <v>0</v>
      </c>
      <c r="O167" s="137">
        <f t="shared" si="14"/>
        <v>0</v>
      </c>
    </row>
    <row r="168" spans="2:15" ht="15" hidden="1">
      <c r="B168" s="67"/>
      <c r="C168" s="18">
        <v>19.03</v>
      </c>
      <c r="D168" s="33"/>
      <c r="E168" s="21"/>
      <c r="F168" s="8" t="s">
        <v>276</v>
      </c>
      <c r="G168" s="18">
        <v>0</v>
      </c>
      <c r="H168" s="18" t="s">
        <v>277</v>
      </c>
      <c r="I168" s="30">
        <v>10</v>
      </c>
      <c r="J168" s="30">
        <f t="shared" ref="J168:J169" si="17">I168*G168</f>
        <v>0</v>
      </c>
      <c r="O168" s="137">
        <f t="shared" si="14"/>
        <v>0</v>
      </c>
    </row>
    <row r="169" spans="2:15" ht="15" hidden="1">
      <c r="B169" s="67"/>
      <c r="C169" s="18">
        <v>19.04</v>
      </c>
      <c r="D169" s="33"/>
      <c r="E169" s="21"/>
      <c r="F169" s="8" t="s">
        <v>278</v>
      </c>
      <c r="G169" s="18">
        <v>0</v>
      </c>
      <c r="H169" s="18" t="s">
        <v>146</v>
      </c>
      <c r="I169" s="30">
        <v>200</v>
      </c>
      <c r="J169" s="30">
        <f t="shared" si="17"/>
        <v>0</v>
      </c>
      <c r="O169" s="137">
        <f t="shared" si="14"/>
        <v>0</v>
      </c>
    </row>
    <row r="170" spans="2:15" ht="15" hidden="1">
      <c r="B170" s="67"/>
      <c r="C170" s="18">
        <v>19.05</v>
      </c>
      <c r="D170" s="33"/>
      <c r="E170" s="21"/>
      <c r="F170" s="8" t="s">
        <v>279</v>
      </c>
      <c r="G170" s="18">
        <v>0</v>
      </c>
      <c r="H170" s="18" t="s">
        <v>11</v>
      </c>
      <c r="I170" s="30">
        <v>150</v>
      </c>
      <c r="J170" s="30">
        <f>I170*G170</f>
        <v>0</v>
      </c>
      <c r="O170" s="137">
        <f t="shared" si="14"/>
        <v>0</v>
      </c>
    </row>
    <row r="171" spans="2:15" ht="15" hidden="1">
      <c r="B171" s="67"/>
      <c r="C171" s="18"/>
      <c r="D171" s="33"/>
      <c r="E171" s="21"/>
      <c r="F171" s="8" t="s">
        <v>280</v>
      </c>
      <c r="G171" s="18">
        <v>0</v>
      </c>
      <c r="H171" s="18" t="s">
        <v>88</v>
      </c>
      <c r="I171" s="30">
        <v>8000</v>
      </c>
      <c r="J171" s="30">
        <f>I171*G171</f>
        <v>0</v>
      </c>
      <c r="O171" s="137">
        <f t="shared" si="14"/>
        <v>0</v>
      </c>
    </row>
    <row r="172" spans="2:15" ht="20.100000000000001" hidden="1" customHeight="1">
      <c r="B172" s="211" t="s">
        <v>281</v>
      </c>
      <c r="C172" s="212">
        <v>20</v>
      </c>
      <c r="D172" s="222"/>
      <c r="E172" s="211"/>
      <c r="F172" s="224" t="s">
        <v>282</v>
      </c>
      <c r="G172" s="213">
        <v>1</v>
      </c>
      <c r="H172" s="211" t="s">
        <v>180</v>
      </c>
      <c r="I172" s="218">
        <f>IF(G172&gt;=1, J172/G172, 0)</f>
        <v>0</v>
      </c>
      <c r="J172" s="218">
        <f>J173</f>
        <v>0</v>
      </c>
      <c r="O172" s="137">
        <f t="shared" si="14"/>
        <v>0</v>
      </c>
    </row>
    <row r="173" spans="2:15" ht="15" hidden="1">
      <c r="B173" s="65"/>
      <c r="C173" s="26">
        <v>20.010000000000002</v>
      </c>
      <c r="D173" s="32"/>
      <c r="E173" s="21"/>
      <c r="F173" s="8" t="s">
        <v>283</v>
      </c>
      <c r="G173" s="18">
        <v>0</v>
      </c>
      <c r="H173" s="18" t="s">
        <v>88</v>
      </c>
      <c r="I173" s="30">
        <v>5000</v>
      </c>
      <c r="J173" s="30">
        <f>I173*G173</f>
        <v>0</v>
      </c>
      <c r="O173" s="137">
        <f t="shared" si="14"/>
        <v>0</v>
      </c>
    </row>
    <row r="174" spans="2:15" ht="20.100000000000001" hidden="1" customHeight="1">
      <c r="B174" s="211" t="s">
        <v>284</v>
      </c>
      <c r="C174" s="212">
        <v>21</v>
      </c>
      <c r="D174" s="222"/>
      <c r="E174" s="211"/>
      <c r="F174" s="224" t="s">
        <v>285</v>
      </c>
      <c r="G174" s="213">
        <v>1</v>
      </c>
      <c r="H174" s="211" t="s">
        <v>88</v>
      </c>
      <c r="I174" s="218">
        <f>IF(G174&gt;=1, J174/G174, 0)</f>
        <v>0</v>
      </c>
      <c r="J174" s="218">
        <f>SUM(J175:J193)</f>
        <v>0</v>
      </c>
      <c r="O174" s="137">
        <f t="shared" si="14"/>
        <v>0</v>
      </c>
    </row>
    <row r="175" spans="2:15" ht="15" hidden="1">
      <c r="B175" s="21"/>
      <c r="C175" s="69">
        <v>21.01</v>
      </c>
      <c r="D175" s="19"/>
      <c r="E175" s="21"/>
      <c r="F175" s="65" t="s">
        <v>286</v>
      </c>
      <c r="G175" s="26">
        <v>0</v>
      </c>
      <c r="H175" s="18" t="s">
        <v>84</v>
      </c>
      <c r="I175" s="30">
        <v>10500</v>
      </c>
      <c r="J175" s="30">
        <f>I175*G175</f>
        <v>0</v>
      </c>
      <c r="O175" s="137">
        <f t="shared" si="14"/>
        <v>0</v>
      </c>
    </row>
    <row r="176" spans="2:15" ht="15" hidden="1">
      <c r="B176" s="21"/>
      <c r="C176" s="69">
        <f>C175+0.01</f>
        <v>21.020000000000003</v>
      </c>
      <c r="D176" s="19"/>
      <c r="E176" s="21"/>
      <c r="F176" s="65" t="s">
        <v>287</v>
      </c>
      <c r="G176" s="26">
        <v>0</v>
      </c>
      <c r="H176" s="18" t="s">
        <v>244</v>
      </c>
      <c r="I176" s="30">
        <v>26000</v>
      </c>
      <c r="J176" s="30">
        <f t="shared" ref="J176:J193" si="18">I176*G176</f>
        <v>0</v>
      </c>
      <c r="O176" s="137">
        <f t="shared" si="14"/>
        <v>0</v>
      </c>
    </row>
    <row r="177" spans="2:15" ht="15" hidden="1">
      <c r="B177" s="21"/>
      <c r="C177" s="69">
        <f t="shared" ref="C177:C193" si="19">C176+0.01</f>
        <v>21.030000000000005</v>
      </c>
      <c r="D177" s="19"/>
      <c r="E177" s="21"/>
      <c r="F177" s="65" t="s">
        <v>288</v>
      </c>
      <c r="G177" s="26">
        <v>0</v>
      </c>
      <c r="H177" s="18" t="s">
        <v>244</v>
      </c>
      <c r="I177" s="30">
        <v>30000</v>
      </c>
      <c r="J177" s="30">
        <f t="shared" si="18"/>
        <v>0</v>
      </c>
      <c r="O177" s="137">
        <f t="shared" si="14"/>
        <v>0</v>
      </c>
    </row>
    <row r="178" spans="2:15" ht="15" hidden="1">
      <c r="B178" s="21"/>
      <c r="C178" s="69">
        <f t="shared" si="19"/>
        <v>21.040000000000006</v>
      </c>
      <c r="D178" s="19"/>
      <c r="E178" s="21"/>
      <c r="F178" s="65" t="s">
        <v>289</v>
      </c>
      <c r="G178" s="26">
        <v>0</v>
      </c>
      <c r="H178" s="18" t="s">
        <v>214</v>
      </c>
      <c r="I178" s="30">
        <v>12000</v>
      </c>
      <c r="J178" s="30">
        <f t="shared" si="18"/>
        <v>0</v>
      </c>
      <c r="O178" s="137">
        <f t="shared" si="14"/>
        <v>0</v>
      </c>
    </row>
    <row r="179" spans="2:15" ht="15" hidden="1">
      <c r="B179" s="21"/>
      <c r="C179" s="69">
        <f t="shared" si="19"/>
        <v>21.050000000000008</v>
      </c>
      <c r="D179" s="19"/>
      <c r="E179" s="21"/>
      <c r="F179" s="65" t="s">
        <v>290</v>
      </c>
      <c r="G179" s="26">
        <v>0</v>
      </c>
      <c r="H179" s="18" t="s">
        <v>75</v>
      </c>
      <c r="I179" s="30">
        <v>145</v>
      </c>
      <c r="J179" s="30">
        <f t="shared" si="18"/>
        <v>0</v>
      </c>
      <c r="N179" s="1"/>
      <c r="O179" s="137">
        <f t="shared" si="14"/>
        <v>0</v>
      </c>
    </row>
    <row r="180" spans="2:15" ht="15" hidden="1">
      <c r="B180" s="21"/>
      <c r="C180" s="69">
        <f t="shared" si="19"/>
        <v>21.060000000000009</v>
      </c>
      <c r="D180" s="19"/>
      <c r="E180" s="21"/>
      <c r="F180" s="65" t="s">
        <v>291</v>
      </c>
      <c r="G180" s="26">
        <v>0</v>
      </c>
      <c r="H180" s="18" t="s">
        <v>75</v>
      </c>
      <c r="I180" s="30">
        <v>13</v>
      </c>
      <c r="J180" s="30">
        <f t="shared" si="18"/>
        <v>0</v>
      </c>
      <c r="O180" s="137">
        <f t="shared" si="14"/>
        <v>0</v>
      </c>
    </row>
    <row r="181" spans="2:15" ht="15" hidden="1">
      <c r="B181" s="21"/>
      <c r="C181" s="69">
        <f t="shared" si="19"/>
        <v>21.070000000000011</v>
      </c>
      <c r="D181" s="19"/>
      <c r="E181" s="21"/>
      <c r="F181" s="65" t="s">
        <v>292</v>
      </c>
      <c r="G181" s="26">
        <v>0</v>
      </c>
      <c r="H181" s="18" t="s">
        <v>75</v>
      </c>
      <c r="I181" s="30">
        <v>20</v>
      </c>
      <c r="J181" s="30">
        <f t="shared" si="18"/>
        <v>0</v>
      </c>
      <c r="O181" s="137">
        <f t="shared" si="14"/>
        <v>0</v>
      </c>
    </row>
    <row r="182" spans="2:15" ht="15" hidden="1">
      <c r="B182" s="21"/>
      <c r="C182" s="69">
        <f t="shared" si="19"/>
        <v>21.080000000000013</v>
      </c>
      <c r="D182" s="19"/>
      <c r="E182" s="21"/>
      <c r="F182" s="65" t="s">
        <v>293</v>
      </c>
      <c r="G182" s="26">
        <v>0</v>
      </c>
      <c r="H182" s="18" t="s">
        <v>244</v>
      </c>
      <c r="I182" s="30">
        <v>2000</v>
      </c>
      <c r="J182" s="30">
        <f t="shared" si="18"/>
        <v>0</v>
      </c>
      <c r="O182" s="137">
        <f t="shared" si="14"/>
        <v>0</v>
      </c>
    </row>
    <row r="183" spans="2:15" ht="15" hidden="1">
      <c r="B183" s="21"/>
      <c r="C183" s="69">
        <f t="shared" si="19"/>
        <v>21.090000000000014</v>
      </c>
      <c r="D183" s="19"/>
      <c r="E183" s="21"/>
      <c r="F183" s="65" t="s">
        <v>294</v>
      </c>
      <c r="G183" s="26">
        <v>0</v>
      </c>
      <c r="H183" s="18" t="s">
        <v>244</v>
      </c>
      <c r="I183" s="30">
        <v>1000</v>
      </c>
      <c r="J183" s="30">
        <f t="shared" si="18"/>
        <v>0</v>
      </c>
      <c r="O183" s="137">
        <f t="shared" si="14"/>
        <v>0</v>
      </c>
    </row>
    <row r="184" spans="2:15" ht="15" hidden="1">
      <c r="B184" s="21"/>
      <c r="C184" s="69">
        <f t="shared" si="19"/>
        <v>21.100000000000016</v>
      </c>
      <c r="D184" s="19"/>
      <c r="E184" s="21"/>
      <c r="F184" s="65" t="s">
        <v>295</v>
      </c>
      <c r="G184" s="26">
        <v>0</v>
      </c>
      <c r="H184" s="18" t="s">
        <v>296</v>
      </c>
      <c r="I184" s="30">
        <v>1500</v>
      </c>
      <c r="J184" s="30">
        <f t="shared" si="18"/>
        <v>0</v>
      </c>
      <c r="O184" s="137">
        <f t="shared" si="14"/>
        <v>0</v>
      </c>
    </row>
    <row r="185" spans="2:15" ht="15" hidden="1">
      <c r="B185" s="21"/>
      <c r="C185" s="69">
        <f t="shared" si="19"/>
        <v>21.110000000000017</v>
      </c>
      <c r="D185" s="19"/>
      <c r="E185" s="21"/>
      <c r="F185" s="65" t="s">
        <v>297</v>
      </c>
      <c r="G185" s="26">
        <v>0</v>
      </c>
      <c r="H185" s="18" t="s">
        <v>296</v>
      </c>
      <c r="I185" s="30">
        <v>6000</v>
      </c>
      <c r="J185" s="30">
        <f t="shared" si="18"/>
        <v>0</v>
      </c>
      <c r="O185" s="137">
        <f t="shared" si="14"/>
        <v>0</v>
      </c>
    </row>
    <row r="186" spans="2:15" ht="15" hidden="1">
      <c r="B186" s="21"/>
      <c r="C186" s="69">
        <f t="shared" si="19"/>
        <v>21.120000000000019</v>
      </c>
      <c r="D186" s="19"/>
      <c r="E186" s="21"/>
      <c r="F186" s="65" t="s">
        <v>298</v>
      </c>
      <c r="G186" s="26">
        <v>0</v>
      </c>
      <c r="H186" s="18" t="s">
        <v>214</v>
      </c>
      <c r="I186" s="30">
        <v>6000</v>
      </c>
      <c r="J186" s="30">
        <f t="shared" si="18"/>
        <v>0</v>
      </c>
      <c r="O186" s="137">
        <f t="shared" si="14"/>
        <v>0</v>
      </c>
    </row>
    <row r="187" spans="2:15" ht="15" hidden="1">
      <c r="B187" s="21"/>
      <c r="C187" s="69">
        <f t="shared" si="19"/>
        <v>21.13000000000002</v>
      </c>
      <c r="D187" s="19"/>
      <c r="E187" s="21"/>
      <c r="F187" s="65" t="s">
        <v>299</v>
      </c>
      <c r="G187" s="26">
        <v>0</v>
      </c>
      <c r="H187" s="18" t="s">
        <v>75</v>
      </c>
      <c r="I187" s="30">
        <v>20</v>
      </c>
      <c r="J187" s="30">
        <f t="shared" si="18"/>
        <v>0</v>
      </c>
      <c r="O187" s="137">
        <f t="shared" si="14"/>
        <v>0</v>
      </c>
    </row>
    <row r="188" spans="2:15" ht="15" hidden="1">
      <c r="B188" s="21"/>
      <c r="C188" s="69">
        <f t="shared" si="19"/>
        <v>21.140000000000022</v>
      </c>
      <c r="D188" s="19"/>
      <c r="E188" s="21"/>
      <c r="F188" s="65" t="s">
        <v>300</v>
      </c>
      <c r="G188" s="26">
        <v>0</v>
      </c>
      <c r="H188" s="18" t="s">
        <v>214</v>
      </c>
      <c r="I188" s="30">
        <v>1000</v>
      </c>
      <c r="J188" s="30">
        <f t="shared" si="18"/>
        <v>0</v>
      </c>
      <c r="K188" s="16"/>
      <c r="L188" s="16"/>
      <c r="M188" s="16"/>
      <c r="O188" s="137">
        <f t="shared" si="14"/>
        <v>0</v>
      </c>
    </row>
    <row r="189" spans="2:15" ht="15" hidden="1">
      <c r="B189" s="21"/>
      <c r="C189" s="69">
        <f t="shared" si="19"/>
        <v>21.150000000000023</v>
      </c>
      <c r="D189" s="19"/>
      <c r="E189" s="21"/>
      <c r="F189" s="65" t="s">
        <v>301</v>
      </c>
      <c r="G189" s="26">
        <v>0</v>
      </c>
      <c r="H189" s="18" t="s">
        <v>214</v>
      </c>
      <c r="I189" s="30">
        <v>2000</v>
      </c>
      <c r="J189" s="30">
        <f t="shared" si="18"/>
        <v>0</v>
      </c>
      <c r="O189" s="137">
        <f t="shared" si="14"/>
        <v>0</v>
      </c>
    </row>
    <row r="190" spans="2:15" ht="15" hidden="1">
      <c r="B190" s="21"/>
      <c r="C190" s="69">
        <f t="shared" si="19"/>
        <v>21.160000000000025</v>
      </c>
      <c r="D190" s="19"/>
      <c r="E190" s="21"/>
      <c r="F190" s="65" t="s">
        <v>302</v>
      </c>
      <c r="G190" s="26">
        <v>0</v>
      </c>
      <c r="H190" s="18" t="s">
        <v>75</v>
      </c>
      <c r="I190" s="30">
        <v>140</v>
      </c>
      <c r="J190" s="30">
        <f t="shared" si="18"/>
        <v>0</v>
      </c>
      <c r="O190" s="137">
        <f t="shared" si="14"/>
        <v>0</v>
      </c>
    </row>
    <row r="191" spans="2:15" ht="15" hidden="1">
      <c r="B191" s="21"/>
      <c r="C191" s="69">
        <f t="shared" si="19"/>
        <v>21.170000000000027</v>
      </c>
      <c r="D191" s="19"/>
      <c r="E191" s="21"/>
      <c r="F191" s="65" t="s">
        <v>303</v>
      </c>
      <c r="G191" s="26">
        <v>0</v>
      </c>
      <c r="H191" s="18" t="s">
        <v>214</v>
      </c>
      <c r="I191" s="30">
        <v>1200</v>
      </c>
      <c r="J191" s="30">
        <f t="shared" si="18"/>
        <v>0</v>
      </c>
      <c r="O191" s="137">
        <f t="shared" si="14"/>
        <v>0</v>
      </c>
    </row>
    <row r="192" spans="2:15" ht="15" hidden="1">
      <c r="B192" s="21"/>
      <c r="C192" s="69">
        <f t="shared" si="19"/>
        <v>21.180000000000028</v>
      </c>
      <c r="D192" s="19"/>
      <c r="E192" s="21"/>
      <c r="F192" s="65" t="s">
        <v>304</v>
      </c>
      <c r="G192" s="26">
        <v>0</v>
      </c>
      <c r="H192" s="18" t="s">
        <v>75</v>
      </c>
      <c r="I192" s="30">
        <v>45</v>
      </c>
      <c r="J192" s="30">
        <f t="shared" si="18"/>
        <v>0</v>
      </c>
      <c r="O192" s="137">
        <f t="shared" si="14"/>
        <v>0</v>
      </c>
    </row>
    <row r="193" spans="2:15" ht="15" hidden="1">
      <c r="B193" s="21"/>
      <c r="C193" s="69">
        <f t="shared" si="19"/>
        <v>21.19000000000003</v>
      </c>
      <c r="D193" s="19"/>
      <c r="E193" s="21"/>
      <c r="F193" s="65" t="s">
        <v>305</v>
      </c>
      <c r="G193" s="26">
        <v>0</v>
      </c>
      <c r="H193" s="18" t="s">
        <v>88</v>
      </c>
      <c r="I193" s="30">
        <v>25000</v>
      </c>
      <c r="J193" s="30">
        <f t="shared" si="18"/>
        <v>0</v>
      </c>
      <c r="O193" s="137">
        <f t="shared" si="14"/>
        <v>0</v>
      </c>
    </row>
    <row r="194" spans="2:15" ht="15" hidden="1">
      <c r="B194" s="107" t="s">
        <v>306</v>
      </c>
      <c r="C194" s="128"/>
      <c r="D194" s="108"/>
      <c r="E194" s="24"/>
      <c r="F194" s="21"/>
      <c r="G194" s="28"/>
      <c r="H194" s="21"/>
      <c r="I194" s="109"/>
      <c r="J194" s="24"/>
      <c r="O194" s="137">
        <f t="shared" si="14"/>
        <v>0</v>
      </c>
    </row>
    <row r="195" spans="2:15" ht="20.100000000000001" customHeight="1">
      <c r="B195" s="211" t="s">
        <v>307</v>
      </c>
      <c r="C195" s="212">
        <v>22</v>
      </c>
      <c r="D195" s="216"/>
      <c r="E195" s="219"/>
      <c r="F195" s="228" t="s">
        <v>308</v>
      </c>
      <c r="G195" s="213">
        <v>1</v>
      </c>
      <c r="H195" s="211" t="s">
        <v>88</v>
      </c>
      <c r="I195" s="218">
        <f>IF(G195&gt;=1, J195/G195, 0)</f>
        <v>75000</v>
      </c>
      <c r="J195" s="218">
        <f>SUM(J196:J197)</f>
        <v>75000</v>
      </c>
      <c r="O195" s="137">
        <f t="shared" si="14"/>
        <v>1102.9411764705883</v>
      </c>
    </row>
    <row r="196" spans="2:15" ht="15" hidden="1">
      <c r="B196" s="67"/>
      <c r="C196" s="17">
        <v>22.01</v>
      </c>
      <c r="D196" s="32"/>
      <c r="E196" s="19"/>
      <c r="F196" s="8" t="s">
        <v>309</v>
      </c>
      <c r="G196" s="18">
        <v>1</v>
      </c>
      <c r="H196" s="18" t="s">
        <v>88</v>
      </c>
      <c r="I196" s="30">
        <v>60000</v>
      </c>
      <c r="J196" s="30">
        <f>I196*G196</f>
        <v>60000</v>
      </c>
      <c r="O196" s="137">
        <f t="shared" si="14"/>
        <v>882.35294117647061</v>
      </c>
    </row>
    <row r="197" spans="2:15" ht="15" hidden="1">
      <c r="B197" s="67"/>
      <c r="C197" s="17">
        <v>22.02</v>
      </c>
      <c r="D197" s="32"/>
      <c r="E197" s="19"/>
      <c r="F197" s="8" t="s">
        <v>310</v>
      </c>
      <c r="G197" s="18">
        <v>1</v>
      </c>
      <c r="H197" s="18" t="s">
        <v>88</v>
      </c>
      <c r="I197" s="30">
        <v>15000</v>
      </c>
      <c r="J197" s="30">
        <f>I197*G197</f>
        <v>15000</v>
      </c>
      <c r="O197" s="137">
        <f t="shared" si="14"/>
        <v>220.58823529411765</v>
      </c>
    </row>
    <row r="198" spans="2:15" s="16" customFormat="1" ht="20.100000000000001" customHeight="1">
      <c r="B198" s="211" t="s">
        <v>311</v>
      </c>
      <c r="C198" s="212">
        <v>23</v>
      </c>
      <c r="D198" s="216"/>
      <c r="E198" s="219"/>
      <c r="F198" s="228" t="s">
        <v>312</v>
      </c>
      <c r="G198" s="211">
        <v>1</v>
      </c>
      <c r="H198" s="211" t="s">
        <v>88</v>
      </c>
      <c r="I198" s="218">
        <f>IF(G198&gt;=1, J198/G198, 0)</f>
        <v>1400</v>
      </c>
      <c r="J198" s="218">
        <f>J199</f>
        <v>1400</v>
      </c>
      <c r="K198"/>
      <c r="L198"/>
      <c r="M198"/>
      <c r="O198" s="137">
        <f t="shared" si="14"/>
        <v>20.588235294117649</v>
      </c>
    </row>
    <row r="199" spans="2:15" hidden="1">
      <c r="B199" s="65"/>
      <c r="C199" s="26">
        <v>23.01</v>
      </c>
      <c r="D199" s="32"/>
      <c r="E199" s="21"/>
      <c r="F199" s="8" t="s">
        <v>313</v>
      </c>
      <c r="G199" s="26">
        <v>4</v>
      </c>
      <c r="H199" s="18" t="s">
        <v>126</v>
      </c>
      <c r="I199" s="30">
        <v>350</v>
      </c>
      <c r="J199" s="30">
        <f>I199*G199</f>
        <v>1400</v>
      </c>
    </row>
    <row r="200" spans="2:15" ht="15" hidden="1">
      <c r="B200" s="125"/>
      <c r="C200" s="112"/>
      <c r="D200" s="23"/>
      <c r="E200" s="110"/>
      <c r="F200" s="111"/>
      <c r="G200" s="112"/>
      <c r="H200" s="112"/>
      <c r="I200" s="112"/>
      <c r="J200" s="113"/>
    </row>
    <row r="201" spans="2:15" ht="18">
      <c r="B201" s="244" t="s">
        <v>314</v>
      </c>
      <c r="C201" s="244"/>
      <c r="D201" s="244"/>
      <c r="E201" s="244"/>
      <c r="F201" s="244"/>
      <c r="G201" s="244"/>
      <c r="H201" s="244"/>
      <c r="I201" s="244"/>
      <c r="J201" s="114">
        <f>J198+J195+J158+J119+J100+J95+J90+J82+J75+J72+J61+J46+J38+J30+J22+J19+J16+J13+J172+J152+J165+J69+J174</f>
        <v>852000.00000000012</v>
      </c>
      <c r="K201" s="207">
        <f>J201/F9</f>
        <v>12529.411764705885</v>
      </c>
      <c r="O201" s="132">
        <f>J201/68</f>
        <v>12529.411764705885</v>
      </c>
    </row>
    <row r="202" spans="2:15" hidden="1">
      <c r="I202" s="15" t="s">
        <v>315</v>
      </c>
      <c r="J202" s="13">
        <f>J199+J171+J164+J157+J150+J98+J94+J92+J88+J87+J80+J79+J73+J67+J66+J59+J58+J44+J43+J36+J35+J28+J27+J20+J17+J14+J193+J173</f>
        <v>275089.60679999995</v>
      </c>
    </row>
    <row r="203" spans="2:15" hidden="1">
      <c r="I203" s="15" t="s">
        <v>316</v>
      </c>
      <c r="J203" s="13">
        <f>J201-J202</f>
        <v>576910.39320000017</v>
      </c>
    </row>
    <row r="204" spans="2:15" hidden="1">
      <c r="J204" s="13"/>
    </row>
    <row r="205" spans="2:15" hidden="1">
      <c r="J205" s="13">
        <f>12000-K201</f>
        <v>-529.41176470588471</v>
      </c>
    </row>
    <row r="206" spans="2:15" ht="15" hidden="1">
      <c r="G206" s="14"/>
      <c r="I206" s="13"/>
      <c r="J206" s="13">
        <f>J205*71</f>
        <v>-37588.235294117811</v>
      </c>
    </row>
    <row r="207" spans="2:15" hidden="1">
      <c r="F207" s="37"/>
      <c r="J207" s="13"/>
    </row>
    <row r="208" spans="2:15" ht="15.75">
      <c r="F208" s="229"/>
      <c r="G208" s="12"/>
      <c r="I208" s="11"/>
      <c r="J208" s="13"/>
    </row>
  </sheetData>
  <mergeCells count="17">
    <mergeCell ref="F11:F12"/>
    <mergeCell ref="G11:G12"/>
    <mergeCell ref="H11:H12"/>
    <mergeCell ref="B201:I201"/>
    <mergeCell ref="B7:E7"/>
    <mergeCell ref="B8:E8"/>
    <mergeCell ref="B9:E9"/>
    <mergeCell ref="B10:E10"/>
    <mergeCell ref="B11:B12"/>
    <mergeCell ref="C11:C12"/>
    <mergeCell ref="D11:D12"/>
    <mergeCell ref="B6:E6"/>
    <mergeCell ref="B1:E1"/>
    <mergeCell ref="B2:E2"/>
    <mergeCell ref="B3:E3"/>
    <mergeCell ref="B4:E4"/>
    <mergeCell ref="B5:E5"/>
  </mergeCells>
  <printOptions horizontalCentered="1"/>
  <pageMargins left="0.25" right="0.25" top="0.25" bottom="0.25" header="0.3" footer="0.3"/>
  <pageSetup paperSize="9" scale="94" fitToHeight="7" orientation="landscape" horizontalDpi="300" verticalDpi="300" r:id="rId1"/>
  <rowBreaks count="1" manualBreakCount="1">
    <brk id="60" min="1" max="9" man="1"/>
  </rowBreaks>
  <ignoredErrors>
    <ignoredError sqref="J72 J198 J95" 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3F3C67-9736-4767-8D42-6484047E8B9E}">
  <sheetPr>
    <pageSetUpPr fitToPage="1"/>
  </sheetPr>
  <dimension ref="A1:P208"/>
  <sheetViews>
    <sheetView topLeftCell="B194" zoomScaleNormal="100" zoomScaleSheetLayoutView="100" workbookViewId="0">
      <selection activeCell="F101" sqref="F101"/>
    </sheetView>
  </sheetViews>
  <sheetFormatPr defaultRowHeight="14.25"/>
  <cols>
    <col min="1" max="1" width="6.85546875" hidden="1" customWidth="1"/>
    <col min="2" max="2" width="6.85546875" style="35" customWidth="1"/>
    <col min="3" max="3" width="6" style="1" bestFit="1" customWidth="1"/>
    <col min="4" max="4" width="11.7109375" style="22" bestFit="1" customWidth="1"/>
    <col min="5" max="5" width="12.140625" customWidth="1"/>
    <col min="6" max="6" width="63.85546875" style="36" bestFit="1" customWidth="1"/>
    <col min="7" max="7" width="10.5703125" style="1" bestFit="1" customWidth="1"/>
    <col min="8" max="8" width="8.85546875" style="1" bestFit="1" customWidth="1"/>
    <col min="9" max="9" width="12.7109375" style="1" bestFit="1" customWidth="1"/>
    <col min="10" max="10" width="18.28515625" style="1" bestFit="1" customWidth="1"/>
    <col min="11" max="11" width="22.140625" hidden="1" customWidth="1"/>
    <col min="12" max="12" width="4.140625" hidden="1" customWidth="1"/>
    <col min="13" max="13" width="10.85546875" hidden="1" customWidth="1"/>
    <col min="14" max="14" width="22.140625" hidden="1" customWidth="1"/>
    <col min="16" max="16" width="11.85546875" bestFit="1" customWidth="1"/>
  </cols>
  <sheetData>
    <row r="1" spans="2:15" ht="15">
      <c r="B1" s="240" t="s">
        <v>94</v>
      </c>
      <c r="C1" s="240"/>
      <c r="D1" s="240"/>
      <c r="E1" s="240"/>
      <c r="F1" s="2" t="s">
        <v>95</v>
      </c>
      <c r="G1" s="2"/>
      <c r="H1" s="2"/>
      <c r="I1" s="2"/>
      <c r="J1" s="2"/>
      <c r="K1" s="3"/>
      <c r="N1" s="3"/>
    </row>
    <row r="2" spans="2:15" ht="15" customHeight="1">
      <c r="B2" s="240" t="s">
        <v>96</v>
      </c>
      <c r="C2" s="240"/>
      <c r="D2" s="240"/>
      <c r="E2" s="240"/>
      <c r="F2" s="2" t="s">
        <v>97</v>
      </c>
      <c r="G2" s="2"/>
      <c r="H2" s="2"/>
      <c r="I2" s="4"/>
      <c r="J2" s="4"/>
      <c r="K2" s="4"/>
      <c r="N2" s="4"/>
    </row>
    <row r="3" spans="2:15" ht="15">
      <c r="B3" s="240" t="s">
        <v>98</v>
      </c>
      <c r="C3" s="240"/>
      <c r="D3" s="240"/>
      <c r="E3" s="240"/>
      <c r="F3" s="2" t="s">
        <v>99</v>
      </c>
      <c r="G3" s="6"/>
      <c r="H3" s="6"/>
      <c r="I3" s="2"/>
      <c r="J3" s="2"/>
      <c r="K3" s="3"/>
      <c r="N3" s="3"/>
    </row>
    <row r="4" spans="2:15" ht="15" customHeight="1">
      <c r="B4" s="240" t="s">
        <v>100</v>
      </c>
      <c r="C4" s="240"/>
      <c r="D4" s="240"/>
      <c r="E4" s="240"/>
      <c r="F4" s="2" t="s">
        <v>101</v>
      </c>
      <c r="G4" s="2"/>
      <c r="H4" s="2"/>
      <c r="I4" s="4"/>
      <c r="J4" s="4"/>
      <c r="K4" s="5"/>
      <c r="N4" s="5"/>
    </row>
    <row r="5" spans="2:15" ht="15" customHeight="1">
      <c r="B5" s="240" t="s">
        <v>102</v>
      </c>
      <c r="C5" s="240"/>
      <c r="D5" s="240"/>
      <c r="E5" s="240"/>
      <c r="F5" s="2" t="s">
        <v>103</v>
      </c>
      <c r="G5"/>
      <c r="H5" s="4"/>
      <c r="I5" s="4"/>
      <c r="J5" s="4"/>
      <c r="K5" s="4"/>
      <c r="N5" s="4"/>
    </row>
    <row r="6" spans="2:15" ht="15" customHeight="1">
      <c r="B6" s="240" t="s">
        <v>104</v>
      </c>
      <c r="C6" s="240"/>
      <c r="D6" s="240"/>
      <c r="E6" s="240"/>
      <c r="F6" s="2" t="s">
        <v>105</v>
      </c>
      <c r="G6" s="4"/>
      <c r="H6" s="4"/>
      <c r="I6" s="4"/>
      <c r="J6" s="4"/>
      <c r="K6" s="5"/>
      <c r="N6" s="5"/>
    </row>
    <row r="7" spans="2:15" ht="15" customHeight="1">
      <c r="B7" s="240" t="s">
        <v>106</v>
      </c>
      <c r="C7" s="240"/>
      <c r="D7" s="240"/>
      <c r="E7" s="240"/>
      <c r="F7" s="129">
        <v>658</v>
      </c>
      <c r="G7" s="208"/>
      <c r="H7" s="4"/>
      <c r="I7" s="2"/>
      <c r="J7" s="2"/>
      <c r="K7" s="3"/>
      <c r="N7" s="3"/>
    </row>
    <row r="8" spans="2:15" ht="15" customHeight="1">
      <c r="B8" s="240" t="s">
        <v>107</v>
      </c>
      <c r="C8" s="240"/>
      <c r="D8" s="240"/>
      <c r="E8" s="240"/>
      <c r="F8" s="56" t="s">
        <v>108</v>
      </c>
      <c r="G8" s="4"/>
      <c r="H8" s="4"/>
      <c r="I8" s="4"/>
      <c r="J8" s="4"/>
      <c r="K8" s="5"/>
      <c r="N8" s="5"/>
    </row>
    <row r="9" spans="2:15" ht="15">
      <c r="B9" s="240" t="s">
        <v>109</v>
      </c>
      <c r="C9" s="240"/>
      <c r="D9" s="240"/>
      <c r="E9" s="240"/>
      <c r="F9" s="6">
        <v>71</v>
      </c>
      <c r="G9" s="4"/>
      <c r="H9" s="4"/>
      <c r="I9" s="2"/>
      <c r="J9" s="2"/>
      <c r="K9" s="3"/>
      <c r="N9" s="3"/>
    </row>
    <row r="10" spans="2:15" ht="15" customHeight="1">
      <c r="B10" s="240" t="s">
        <v>110</v>
      </c>
      <c r="C10" s="240"/>
      <c r="D10" s="240"/>
      <c r="E10" s="240"/>
      <c r="F10" t="s">
        <v>111</v>
      </c>
      <c r="G10" s="4"/>
      <c r="H10" s="4"/>
      <c r="I10" s="2"/>
      <c r="J10" s="2"/>
      <c r="K10" s="3"/>
      <c r="N10" s="3"/>
    </row>
    <row r="11" spans="2:15">
      <c r="B11" s="249" t="s">
        <v>112</v>
      </c>
      <c r="C11" s="250" t="s">
        <v>113</v>
      </c>
      <c r="D11" s="247" t="s">
        <v>114</v>
      </c>
      <c r="E11" s="115" t="s">
        <v>115</v>
      </c>
      <c r="F11" s="248" t="s">
        <v>116</v>
      </c>
      <c r="G11" s="251" t="s">
        <v>117</v>
      </c>
      <c r="H11" s="249" t="s">
        <v>7</v>
      </c>
      <c r="I11" s="116" t="s">
        <v>118</v>
      </c>
      <c r="J11" s="116" t="s">
        <v>119</v>
      </c>
    </row>
    <row r="12" spans="2:15">
      <c r="B12" s="249"/>
      <c r="C12" s="250"/>
      <c r="D12" s="247"/>
      <c r="E12" s="115" t="s">
        <v>120</v>
      </c>
      <c r="F12" s="248"/>
      <c r="G12" s="251"/>
      <c r="H12" s="249"/>
      <c r="I12" s="117" t="s">
        <v>121</v>
      </c>
      <c r="J12" s="117" t="s">
        <v>121</v>
      </c>
    </row>
    <row r="13" spans="2:15" s="16" customFormat="1" ht="20.100000000000001" customHeight="1">
      <c r="B13" s="76" t="s">
        <v>123</v>
      </c>
      <c r="C13" s="90">
        <v>1</v>
      </c>
      <c r="D13" s="72"/>
      <c r="E13" s="73"/>
      <c r="F13" s="74" t="s">
        <v>9</v>
      </c>
      <c r="G13" s="75">
        <f>ESTIMATIONS!G3</f>
        <v>500</v>
      </c>
      <c r="H13" s="76" t="s">
        <v>124</v>
      </c>
      <c r="I13" s="77">
        <f>IF(G13&gt;=1, J13/G13, 0)</f>
        <v>14</v>
      </c>
      <c r="J13" s="77">
        <f>J14</f>
        <v>7000</v>
      </c>
      <c r="K13" s="204"/>
      <c r="L13" s="205"/>
      <c r="M13" s="205"/>
    </row>
    <row r="14" spans="2:15">
      <c r="B14" s="66"/>
      <c r="C14" s="100">
        <v>1.01</v>
      </c>
      <c r="D14" s="32">
        <v>0.04</v>
      </c>
      <c r="E14" s="33"/>
      <c r="F14" s="8" t="s">
        <v>125</v>
      </c>
      <c r="G14" s="26">
        <f>G13*D14</f>
        <v>20</v>
      </c>
      <c r="H14" s="18" t="s">
        <v>126</v>
      </c>
      <c r="I14" s="68">
        <v>350</v>
      </c>
      <c r="J14" s="68">
        <f>I14*G14</f>
        <v>7000</v>
      </c>
      <c r="K14" t="s">
        <v>127</v>
      </c>
      <c r="L14" s="13"/>
      <c r="M14" s="13">
        <f>G14+G17+G20+G36+G44+G59+G67+G80+G94+G88+G28+G199</f>
        <v>385.88787500000007</v>
      </c>
      <c r="N14" s="13">
        <f>J14+J17+J20+J36+J44+J59+J67+J80+J94+J88</f>
        <v>133660.75625000001</v>
      </c>
      <c r="O14" s="13"/>
    </row>
    <row r="15" spans="2:15">
      <c r="B15" s="65" t="s">
        <v>128</v>
      </c>
      <c r="C15" s="100"/>
      <c r="D15" s="32"/>
      <c r="E15" s="33"/>
      <c r="F15" s="70"/>
      <c r="G15" s="26"/>
      <c r="H15" s="18"/>
      <c r="I15" s="17"/>
      <c r="J15" s="17"/>
      <c r="K15" t="s">
        <v>129</v>
      </c>
      <c r="M15" s="132">
        <f>G32+G39+G62+G76+G84</f>
        <v>16.013579500000002</v>
      </c>
    </row>
    <row r="16" spans="2:15" s="16" customFormat="1" ht="20.100000000000001" customHeight="1">
      <c r="B16" s="76" t="s">
        <v>130</v>
      </c>
      <c r="C16" s="90">
        <v>2</v>
      </c>
      <c r="D16" s="72"/>
      <c r="E16" s="73"/>
      <c r="F16" s="74" t="str">
        <f>ESTIMATIONS!B4</f>
        <v>EXCAVATION</v>
      </c>
      <c r="G16" s="75">
        <f>ESTIMATIONS!G16</f>
        <v>90.88</v>
      </c>
      <c r="H16" s="76" t="s">
        <v>131</v>
      </c>
      <c r="I16" s="78">
        <f>IF(G16&gt;=1, J16/G16, 0)</f>
        <v>175</v>
      </c>
      <c r="J16" s="78">
        <f>SUM(J17)</f>
        <v>15904</v>
      </c>
      <c r="K16" t="s">
        <v>132</v>
      </c>
      <c r="L16"/>
      <c r="M16" s="132">
        <f>G25+G33+G41+G64+G85+G77</f>
        <v>14338.557600000002</v>
      </c>
    </row>
    <row r="17" spans="2:16">
      <c r="B17" s="79"/>
      <c r="C17" s="126">
        <v>2.0099999999999998</v>
      </c>
      <c r="D17" s="80">
        <v>0.5</v>
      </c>
      <c r="E17" s="81"/>
      <c r="F17" s="82" t="s">
        <v>133</v>
      </c>
      <c r="G17" s="26">
        <f>D17*G16</f>
        <v>45.44</v>
      </c>
      <c r="H17" s="30" t="s">
        <v>126</v>
      </c>
      <c r="I17" s="68">
        <v>350</v>
      </c>
      <c r="J17" s="30">
        <f>I17*G17</f>
        <v>15904</v>
      </c>
      <c r="K17" t="s">
        <v>134</v>
      </c>
      <c r="M17" s="206">
        <f>G26+G34+G42+G65+G78+G86</f>
        <v>5153.5348000000013</v>
      </c>
    </row>
    <row r="18" spans="2:16">
      <c r="B18" s="64" t="s">
        <v>135</v>
      </c>
      <c r="C18" s="127"/>
      <c r="D18" s="80"/>
      <c r="E18" s="81"/>
      <c r="F18" s="82"/>
      <c r="G18" s="30"/>
      <c r="H18" s="30"/>
      <c r="I18" s="30"/>
      <c r="J18" s="30"/>
      <c r="K18" t="s">
        <v>136</v>
      </c>
      <c r="M18" s="206">
        <f>G35+G43+G58+G66+G79+G87+G93</f>
        <v>87.417625000000015</v>
      </c>
      <c r="N18" s="206">
        <f>J35+J43+J58+J66+J79+J87+J93</f>
        <v>87417.624999999985</v>
      </c>
      <c r="O18" s="206"/>
    </row>
    <row r="19" spans="2:16" ht="20.100000000000001" customHeight="1">
      <c r="B19" s="76" t="s">
        <v>137</v>
      </c>
      <c r="C19" s="90">
        <v>3</v>
      </c>
      <c r="D19" s="72"/>
      <c r="E19" s="83"/>
      <c r="F19" s="84" t="str">
        <f>ESTIMATIONS!B17</f>
        <v>FILLING AND COMPATION</v>
      </c>
      <c r="G19" s="75">
        <f>ESTIMATIONS!G22</f>
        <v>79.28</v>
      </c>
      <c r="H19" s="76" t="s">
        <v>131</v>
      </c>
      <c r="I19" s="78">
        <f>IF(G19&gt;=1, J19/G19, 0)</f>
        <v>525</v>
      </c>
      <c r="J19" s="78">
        <f>SUM(J20:J20)</f>
        <v>41622</v>
      </c>
      <c r="K19" t="s">
        <v>138</v>
      </c>
      <c r="M19" s="132">
        <f>G40+G63</f>
        <v>23.002955000000004</v>
      </c>
      <c r="N19" s="132">
        <f>J40+J63</f>
        <v>18402.364000000001</v>
      </c>
      <c r="O19" s="132"/>
    </row>
    <row r="20" spans="2:16">
      <c r="B20" s="66"/>
      <c r="C20" s="100">
        <v>3.01</v>
      </c>
      <c r="D20" s="32">
        <v>1.5</v>
      </c>
      <c r="E20" s="21"/>
      <c r="F20" s="8" t="s">
        <v>125</v>
      </c>
      <c r="G20" s="26">
        <f>SUM(D20*G19)</f>
        <v>118.92</v>
      </c>
      <c r="H20" s="18" t="s">
        <v>126</v>
      </c>
      <c r="I20" s="68">
        <v>350</v>
      </c>
      <c r="J20" s="68">
        <f>I20*G20</f>
        <v>41622</v>
      </c>
      <c r="K20" t="s">
        <v>139</v>
      </c>
      <c r="N20" s="132">
        <f>J150</f>
        <v>26214.225549999901</v>
      </c>
    </row>
    <row r="21" spans="2:16">
      <c r="B21" s="85" t="s">
        <v>140</v>
      </c>
      <c r="C21" s="100"/>
      <c r="D21" s="23"/>
      <c r="E21" s="21"/>
      <c r="F21" s="8"/>
      <c r="G21" s="26"/>
      <c r="H21" s="18"/>
      <c r="I21" s="17"/>
      <c r="J21" s="17"/>
      <c r="K21" s="16"/>
      <c r="L21" s="16"/>
      <c r="M21" s="16"/>
      <c r="N21" s="16"/>
      <c r="O21" s="16"/>
      <c r="P21" s="16"/>
    </row>
    <row r="22" spans="2:16" s="16" customFormat="1" ht="20.100000000000001" customHeight="1">
      <c r="B22" s="76" t="s">
        <v>141</v>
      </c>
      <c r="C22" s="90">
        <v>4</v>
      </c>
      <c r="D22" s="72"/>
      <c r="E22" s="73"/>
      <c r="F22" s="119" t="s">
        <v>142</v>
      </c>
      <c r="G22" s="75">
        <f>ESTIMATIONS!G27</f>
        <v>0</v>
      </c>
      <c r="H22" s="76" t="s">
        <v>131</v>
      </c>
      <c r="I22" s="78">
        <f>IF(G22&gt;=1, J22/G22, 0)</f>
        <v>0</v>
      </c>
      <c r="J22" s="78">
        <f>SUM(J23:J28)</f>
        <v>0</v>
      </c>
      <c r="K22"/>
      <c r="L22"/>
      <c r="M22"/>
      <c r="N22"/>
      <c r="O22"/>
      <c r="P22"/>
    </row>
    <row r="23" spans="2:16">
      <c r="B23" s="64"/>
      <c r="C23" s="100">
        <v>4.01</v>
      </c>
      <c r="D23" s="33">
        <v>1.1000000000000001</v>
      </c>
      <c r="E23" s="21"/>
      <c r="F23" s="8" t="s">
        <v>143</v>
      </c>
      <c r="G23" s="31">
        <f>G22*D23</f>
        <v>0</v>
      </c>
      <c r="H23" s="18" t="s">
        <v>144</v>
      </c>
      <c r="I23" s="68">
        <v>500</v>
      </c>
      <c r="J23" s="30">
        <f t="shared" ref="J23:J28" si="0">I23*G23</f>
        <v>0</v>
      </c>
    </row>
    <row r="24" spans="2:16">
      <c r="B24" s="64"/>
      <c r="C24" s="100">
        <v>4.0199999999999996</v>
      </c>
      <c r="D24" s="33">
        <f>0.35*1.08</f>
        <v>0.378</v>
      </c>
      <c r="E24" s="21"/>
      <c r="F24" s="8" t="s">
        <v>145</v>
      </c>
      <c r="G24" s="31">
        <f>G22*D24</f>
        <v>0</v>
      </c>
      <c r="H24" s="18" t="s">
        <v>144</v>
      </c>
      <c r="I24" s="68">
        <v>800</v>
      </c>
      <c r="J24" s="30">
        <f t="shared" si="0"/>
        <v>0</v>
      </c>
      <c r="N24" s="132"/>
    </row>
    <row r="25" spans="2:16">
      <c r="B25" s="64"/>
      <c r="C25" s="100">
        <v>4.03</v>
      </c>
      <c r="D25" s="33">
        <f>0.35*260</f>
        <v>91</v>
      </c>
      <c r="E25" s="21"/>
      <c r="F25" s="8" t="s">
        <v>132</v>
      </c>
      <c r="G25" s="31">
        <f>G22*D25</f>
        <v>0</v>
      </c>
      <c r="H25" s="18" t="s">
        <v>146</v>
      </c>
      <c r="I25" s="68">
        <v>6</v>
      </c>
      <c r="J25" s="30">
        <f t="shared" si="0"/>
        <v>0</v>
      </c>
      <c r="N25" s="132"/>
    </row>
    <row r="26" spans="2:16">
      <c r="B26" s="64"/>
      <c r="C26" s="100">
        <v>4.04</v>
      </c>
      <c r="D26" s="33">
        <f>0.35*230</f>
        <v>80.5</v>
      </c>
      <c r="E26" s="21"/>
      <c r="F26" s="8" t="s">
        <v>134</v>
      </c>
      <c r="G26" s="31">
        <f>G22*D26</f>
        <v>0</v>
      </c>
      <c r="H26" s="18" t="s">
        <v>147</v>
      </c>
      <c r="I26" s="68">
        <v>0</v>
      </c>
      <c r="J26" s="30">
        <f t="shared" si="0"/>
        <v>0</v>
      </c>
    </row>
    <row r="27" spans="2:16">
      <c r="B27" s="64"/>
      <c r="C27" s="100">
        <v>4.05</v>
      </c>
      <c r="D27" s="33">
        <v>0.5</v>
      </c>
      <c r="E27" s="21"/>
      <c r="F27" s="8" t="s">
        <v>148</v>
      </c>
      <c r="G27" s="31">
        <f>G22*D27</f>
        <v>0</v>
      </c>
      <c r="H27" s="18" t="s">
        <v>126</v>
      </c>
      <c r="I27" s="68">
        <v>1000</v>
      </c>
      <c r="J27" s="30">
        <f t="shared" si="0"/>
        <v>0</v>
      </c>
      <c r="M27" s="132"/>
      <c r="N27" s="132"/>
    </row>
    <row r="28" spans="2:16">
      <c r="B28" s="64"/>
      <c r="C28" s="100">
        <v>4.0599999999999996</v>
      </c>
      <c r="D28" s="33">
        <v>1</v>
      </c>
      <c r="E28" s="21"/>
      <c r="F28" s="8" t="s">
        <v>125</v>
      </c>
      <c r="G28" s="31">
        <f>G22*D28</f>
        <v>0</v>
      </c>
      <c r="H28" s="18" t="s">
        <v>126</v>
      </c>
      <c r="I28" s="68">
        <v>350</v>
      </c>
      <c r="J28" s="30">
        <f t="shared" si="0"/>
        <v>0</v>
      </c>
    </row>
    <row r="29" spans="2:16">
      <c r="B29" s="64" t="s">
        <v>149</v>
      </c>
      <c r="C29" s="127"/>
      <c r="D29" s="33"/>
      <c r="E29" s="21"/>
      <c r="F29" s="8"/>
      <c r="G29" s="31"/>
      <c r="H29" s="18"/>
      <c r="I29" s="30"/>
      <c r="J29" s="30"/>
    </row>
    <row r="30" spans="2:16" s="16" customFormat="1" ht="20.100000000000001" customHeight="1">
      <c r="B30" s="76" t="s">
        <v>150</v>
      </c>
      <c r="C30" s="90">
        <v>5</v>
      </c>
      <c r="D30" s="86"/>
      <c r="E30" s="87"/>
      <c r="F30" s="119" t="s">
        <v>151</v>
      </c>
      <c r="G30" s="88">
        <f>ESTIMATIONS!G34</f>
        <v>9.6210000000000022</v>
      </c>
      <c r="H30" s="76" t="s">
        <v>131</v>
      </c>
      <c r="I30" s="78">
        <f>IF(G30&gt;=1, J30/G30, 0)</f>
        <v>3811</v>
      </c>
      <c r="J30" s="77">
        <f>SUM(J31:J36)</f>
        <v>36665.631000000008</v>
      </c>
    </row>
    <row r="31" spans="2:16">
      <c r="B31" s="66"/>
      <c r="C31" s="100">
        <v>5.01</v>
      </c>
      <c r="D31" s="29">
        <v>520</v>
      </c>
      <c r="E31" s="21"/>
      <c r="F31" s="8" t="s">
        <v>152</v>
      </c>
      <c r="G31" s="26">
        <f>SUM(D31*G30)</f>
        <v>5002.920000000001</v>
      </c>
      <c r="H31" s="18" t="s">
        <v>153</v>
      </c>
      <c r="I31" s="68">
        <v>3.5</v>
      </c>
      <c r="J31" s="68">
        <f t="shared" ref="J31:J36" si="1">I31*G31</f>
        <v>17510.220000000005</v>
      </c>
    </row>
    <row r="32" spans="2:16">
      <c r="B32" s="66"/>
      <c r="C32" s="100">
        <v>5.0199999999999996</v>
      </c>
      <c r="D32" s="29">
        <v>0.27</v>
      </c>
      <c r="E32" s="21"/>
      <c r="F32" s="8" t="s">
        <v>145</v>
      </c>
      <c r="G32" s="26">
        <f>SUM(D32*G30)</f>
        <v>2.5976700000000008</v>
      </c>
      <c r="H32" s="18" t="s">
        <v>144</v>
      </c>
      <c r="I32" s="68">
        <v>800</v>
      </c>
      <c r="J32" s="68">
        <f t="shared" si="1"/>
        <v>2078.1360000000004</v>
      </c>
    </row>
    <row r="33" spans="2:10">
      <c r="B33" s="66"/>
      <c r="C33" s="100">
        <v>5.03</v>
      </c>
      <c r="D33" s="29">
        <v>65</v>
      </c>
      <c r="E33" s="21"/>
      <c r="F33" s="8" t="s">
        <v>132</v>
      </c>
      <c r="G33" s="26">
        <f>SUM(D33*G30)</f>
        <v>625.36500000000012</v>
      </c>
      <c r="H33" s="18" t="s">
        <v>146</v>
      </c>
      <c r="I33" s="68">
        <v>6</v>
      </c>
      <c r="J33" s="68">
        <f t="shared" si="1"/>
        <v>3752.1900000000005</v>
      </c>
    </row>
    <row r="34" spans="2:10">
      <c r="B34" s="66"/>
      <c r="C34" s="100">
        <v>5.04</v>
      </c>
      <c r="D34" s="29">
        <v>57.5</v>
      </c>
      <c r="E34" s="21"/>
      <c r="F34" s="8" t="s">
        <v>134</v>
      </c>
      <c r="G34" s="26">
        <f>SUM(D34*G30)</f>
        <v>553.2075000000001</v>
      </c>
      <c r="H34" s="18" t="s">
        <v>147</v>
      </c>
      <c r="I34" s="68">
        <v>0</v>
      </c>
      <c r="J34" s="68">
        <f t="shared" si="1"/>
        <v>0</v>
      </c>
    </row>
    <row r="35" spans="2:10">
      <c r="B35" s="66"/>
      <c r="C35" s="100">
        <v>5.05</v>
      </c>
      <c r="D35" s="29">
        <v>0.65</v>
      </c>
      <c r="E35" s="21"/>
      <c r="F35" s="8" t="s">
        <v>148</v>
      </c>
      <c r="G35" s="26">
        <f>SUM(D35*G30)</f>
        <v>6.2536500000000013</v>
      </c>
      <c r="H35" s="18" t="s">
        <v>126</v>
      </c>
      <c r="I35" s="68">
        <v>1000</v>
      </c>
      <c r="J35" s="68">
        <f t="shared" si="1"/>
        <v>6253.6500000000015</v>
      </c>
    </row>
    <row r="36" spans="2:10">
      <c r="B36" s="66"/>
      <c r="C36" s="100">
        <v>5.0599999999999996</v>
      </c>
      <c r="D36" s="29">
        <v>2.1</v>
      </c>
      <c r="E36" s="21"/>
      <c r="F36" s="8" t="s">
        <v>125</v>
      </c>
      <c r="G36" s="26">
        <f>SUM(D36*G30)</f>
        <v>20.204100000000004</v>
      </c>
      <c r="H36" s="18" t="s">
        <v>126</v>
      </c>
      <c r="I36" s="68">
        <v>350</v>
      </c>
      <c r="J36" s="68">
        <f t="shared" si="1"/>
        <v>7071.4350000000013</v>
      </c>
    </row>
    <row r="37" spans="2:10">
      <c r="B37" s="65" t="s">
        <v>154</v>
      </c>
      <c r="C37" s="100"/>
      <c r="D37" s="32"/>
      <c r="E37" s="21"/>
      <c r="F37" s="8"/>
      <c r="G37" s="26"/>
      <c r="H37" s="18"/>
      <c r="I37" s="17"/>
      <c r="J37" s="17"/>
    </row>
    <row r="38" spans="2:10" s="16" customFormat="1" ht="20.100000000000001" customHeight="1">
      <c r="B38" s="76" t="s">
        <v>155</v>
      </c>
      <c r="C38" s="90">
        <v>6</v>
      </c>
      <c r="D38" s="86"/>
      <c r="E38" s="87"/>
      <c r="F38" s="119" t="s">
        <v>156</v>
      </c>
      <c r="G38" s="88">
        <f>ESTIMATIONS!G46</f>
        <v>5.5335000000000001</v>
      </c>
      <c r="H38" s="76" t="s">
        <v>131</v>
      </c>
      <c r="I38" s="78">
        <f>IF(G38&gt;=1, J38/G38, 0)</f>
        <v>4883.5</v>
      </c>
      <c r="J38" s="77">
        <f>SUM(J39:J44)</f>
        <v>27022.847250000003</v>
      </c>
    </row>
    <row r="39" spans="2:10" ht="15.75">
      <c r="B39" s="66"/>
      <c r="C39" s="100">
        <v>6.01</v>
      </c>
      <c r="D39" s="29">
        <v>0.46500000000000002</v>
      </c>
      <c r="E39" s="89"/>
      <c r="F39" s="8" t="s">
        <v>145</v>
      </c>
      <c r="G39" s="26">
        <f>SUM(D39*G38)</f>
        <v>2.5730775000000001</v>
      </c>
      <c r="H39" s="18" t="s">
        <v>144</v>
      </c>
      <c r="I39" s="68">
        <v>800</v>
      </c>
      <c r="J39" s="68">
        <f>I39*G39</f>
        <v>2058.462</v>
      </c>
    </row>
    <row r="40" spans="2:10">
      <c r="B40" s="66"/>
      <c r="C40" s="100">
        <v>6.02</v>
      </c>
      <c r="D40" s="29">
        <v>0.93</v>
      </c>
      <c r="E40" s="21"/>
      <c r="F40" s="8" t="s">
        <v>157</v>
      </c>
      <c r="G40" s="26">
        <f>SUM(D40*G38)</f>
        <v>5.1461550000000003</v>
      </c>
      <c r="H40" s="18" t="s">
        <v>144</v>
      </c>
      <c r="I40" s="68">
        <v>800</v>
      </c>
      <c r="J40" s="68">
        <f t="shared" ref="J40:J44" si="2">I40*G40</f>
        <v>4116.924</v>
      </c>
    </row>
    <row r="41" spans="2:10">
      <c r="B41" s="66"/>
      <c r="C41" s="100">
        <v>6.03</v>
      </c>
      <c r="D41" s="29">
        <v>330</v>
      </c>
      <c r="E41" s="21"/>
      <c r="F41" s="8" t="s">
        <v>132</v>
      </c>
      <c r="G41" s="26">
        <f>SUM(D41*G38)</f>
        <v>1826.0550000000001</v>
      </c>
      <c r="H41" s="18" t="s">
        <v>146</v>
      </c>
      <c r="I41" s="68">
        <v>6</v>
      </c>
      <c r="J41" s="68">
        <f t="shared" si="2"/>
        <v>10956.33</v>
      </c>
    </row>
    <row r="42" spans="2:10">
      <c r="B42" s="66"/>
      <c r="C42" s="100">
        <v>6.04</v>
      </c>
      <c r="D42" s="29">
        <v>145</v>
      </c>
      <c r="E42" s="21"/>
      <c r="F42" s="8" t="s">
        <v>134</v>
      </c>
      <c r="G42" s="26">
        <f>SUM(D42*G38)</f>
        <v>802.35749999999996</v>
      </c>
      <c r="H42" s="18" t="s">
        <v>147</v>
      </c>
      <c r="I42" s="68">
        <v>0</v>
      </c>
      <c r="J42" s="68">
        <f t="shared" si="2"/>
        <v>0</v>
      </c>
    </row>
    <row r="43" spans="2:10">
      <c r="B43" s="66"/>
      <c r="C43" s="100">
        <v>6.05</v>
      </c>
      <c r="D43" s="29">
        <v>0.65</v>
      </c>
      <c r="E43" s="21"/>
      <c r="F43" s="8" t="s">
        <v>148</v>
      </c>
      <c r="G43" s="26">
        <f>SUM(D43*G38)</f>
        <v>3.5967750000000001</v>
      </c>
      <c r="H43" s="18" t="s">
        <v>126</v>
      </c>
      <c r="I43" s="68">
        <v>1000</v>
      </c>
      <c r="J43" s="68">
        <f t="shared" si="2"/>
        <v>3596.7750000000001</v>
      </c>
    </row>
    <row r="44" spans="2:10">
      <c r="B44" s="66"/>
      <c r="C44" s="100">
        <v>6.06</v>
      </c>
      <c r="D44" s="29">
        <v>3.25</v>
      </c>
      <c r="E44" s="21"/>
      <c r="F44" s="8" t="s">
        <v>125</v>
      </c>
      <c r="G44" s="26">
        <f>SUM(D44*G38)</f>
        <v>17.983875000000001</v>
      </c>
      <c r="H44" s="18" t="s">
        <v>126</v>
      </c>
      <c r="I44" s="68">
        <v>350</v>
      </c>
      <c r="J44" s="68">
        <f t="shared" si="2"/>
        <v>6294.3562500000007</v>
      </c>
    </row>
    <row r="45" spans="2:10">
      <c r="B45" s="65" t="s">
        <v>158</v>
      </c>
      <c r="C45" s="100"/>
      <c r="D45" s="32"/>
      <c r="E45" s="21"/>
      <c r="F45" s="8"/>
      <c r="G45" s="26"/>
      <c r="H45" s="18"/>
      <c r="I45" s="26"/>
      <c r="J45" s="26"/>
    </row>
    <row r="46" spans="2:10" s="16" customFormat="1" ht="20.100000000000001" customHeight="1">
      <c r="B46" s="118" t="s">
        <v>159</v>
      </c>
      <c r="C46" s="90">
        <v>7</v>
      </c>
      <c r="D46" s="91"/>
      <c r="E46" s="92"/>
      <c r="F46" s="119" t="s">
        <v>160</v>
      </c>
      <c r="G46" s="77">
        <f>SUM(G47:G54)</f>
        <v>2471.2999999999997</v>
      </c>
      <c r="H46" s="76" t="s">
        <v>146</v>
      </c>
      <c r="I46" s="77">
        <f>IF(G46&gt;=1, J46/G46, 0)</f>
        <v>76.960824262533905</v>
      </c>
      <c r="J46" s="77">
        <f>SUM(J47:J59)</f>
        <v>190193.285</v>
      </c>
    </row>
    <row r="47" spans="2:10" ht="15.75">
      <c r="B47" s="93"/>
      <c r="C47" s="100">
        <v>7.01</v>
      </c>
      <c r="D47" s="29">
        <v>1</v>
      </c>
      <c r="E47" s="21"/>
      <c r="F47" s="8" t="s">
        <v>161</v>
      </c>
      <c r="G47" s="26">
        <v>1300</v>
      </c>
      <c r="H47" s="18" t="s">
        <v>146</v>
      </c>
      <c r="I47" s="68">
        <v>55</v>
      </c>
      <c r="J47" s="68">
        <f t="shared" ref="J47" si="3">I47*G47</f>
        <v>71500</v>
      </c>
    </row>
    <row r="48" spans="2:10" ht="15.75">
      <c r="B48" s="93"/>
      <c r="C48" s="100">
        <f>C47+0.01</f>
        <v>7.02</v>
      </c>
      <c r="D48" s="29">
        <v>1</v>
      </c>
      <c r="E48" s="21"/>
      <c r="F48" s="8" t="s">
        <v>162</v>
      </c>
      <c r="G48" s="26">
        <v>220</v>
      </c>
      <c r="H48" s="18" t="s">
        <v>146</v>
      </c>
      <c r="I48" s="68">
        <v>55</v>
      </c>
      <c r="J48" s="68">
        <f t="shared" ref="J48:J59" si="4">I48*G48</f>
        <v>12100</v>
      </c>
    </row>
    <row r="49" spans="2:14">
      <c r="B49" s="65"/>
      <c r="C49" s="100">
        <f t="shared" ref="C49:C59" si="5">C48+0.01</f>
        <v>7.0299999999999994</v>
      </c>
      <c r="D49" s="29">
        <v>1</v>
      </c>
      <c r="E49" s="21"/>
      <c r="F49" s="8" t="s">
        <v>163</v>
      </c>
      <c r="G49" s="26">
        <v>600</v>
      </c>
      <c r="H49" s="18" t="s">
        <v>146</v>
      </c>
      <c r="I49" s="68">
        <v>55</v>
      </c>
      <c r="J49" s="68">
        <f t="shared" si="4"/>
        <v>33000</v>
      </c>
    </row>
    <row r="50" spans="2:14">
      <c r="B50" s="65"/>
      <c r="C50" s="100">
        <f t="shared" si="5"/>
        <v>7.0399999999999991</v>
      </c>
      <c r="D50" s="29">
        <v>1</v>
      </c>
      <c r="E50" s="21"/>
      <c r="F50" s="8" t="s">
        <v>164</v>
      </c>
      <c r="G50" s="26">
        <v>230</v>
      </c>
      <c r="H50" s="18" t="s">
        <v>146</v>
      </c>
      <c r="I50" s="68">
        <v>55</v>
      </c>
      <c r="J50" s="68">
        <f t="shared" si="4"/>
        <v>12650</v>
      </c>
    </row>
    <row r="51" spans="2:14">
      <c r="B51" s="65"/>
      <c r="C51" s="100">
        <f t="shared" si="5"/>
        <v>7.0499999999999989</v>
      </c>
      <c r="D51" s="29">
        <v>7.0000000000000001E-3</v>
      </c>
      <c r="E51" s="21"/>
      <c r="F51" s="8" t="s">
        <v>165</v>
      </c>
      <c r="G51" s="26">
        <v>17</v>
      </c>
      <c r="H51" s="18" t="s">
        <v>146</v>
      </c>
      <c r="I51" s="68">
        <v>60</v>
      </c>
      <c r="J51" s="68">
        <f t="shared" si="4"/>
        <v>1020</v>
      </c>
    </row>
    <row r="52" spans="2:14" ht="15.75">
      <c r="B52" s="93"/>
      <c r="C52" s="100">
        <f t="shared" si="5"/>
        <v>7.0599999999999987</v>
      </c>
      <c r="D52" s="29">
        <v>1</v>
      </c>
      <c r="E52" s="21"/>
      <c r="F52" s="8" t="s">
        <v>166</v>
      </c>
      <c r="G52" s="26">
        <v>20</v>
      </c>
      <c r="H52" s="18" t="s">
        <v>146</v>
      </c>
      <c r="I52" s="68">
        <v>90</v>
      </c>
      <c r="J52" s="68">
        <f t="shared" ref="J52" si="6">I52*G52</f>
        <v>1800</v>
      </c>
    </row>
    <row r="53" spans="2:14" ht="15.75">
      <c r="B53" s="93"/>
      <c r="C53" s="100">
        <f t="shared" si="5"/>
        <v>7.0699999999999985</v>
      </c>
      <c r="D53" s="29">
        <v>1</v>
      </c>
      <c r="E53" s="21"/>
      <c r="F53" s="8" t="s">
        <v>167</v>
      </c>
      <c r="G53" s="26">
        <f>18*2.7</f>
        <v>48.6</v>
      </c>
      <c r="H53" s="18" t="s">
        <v>146</v>
      </c>
      <c r="I53" s="68">
        <v>180</v>
      </c>
      <c r="J53" s="68">
        <f t="shared" ref="J53" si="7">I53*G53</f>
        <v>8748</v>
      </c>
    </row>
    <row r="54" spans="2:14" ht="15.75">
      <c r="B54" s="93"/>
      <c r="C54" s="100">
        <f t="shared" si="5"/>
        <v>7.0799999999999983</v>
      </c>
      <c r="D54" s="29">
        <v>1</v>
      </c>
      <c r="E54" s="21"/>
      <c r="F54" s="8" t="s">
        <v>168</v>
      </c>
      <c r="G54" s="26">
        <f>21*1.7</f>
        <v>35.699999999999996</v>
      </c>
      <c r="H54" s="18" t="s">
        <v>146</v>
      </c>
      <c r="I54" s="68">
        <v>150</v>
      </c>
      <c r="J54" s="68">
        <f t="shared" ref="J54" si="8">I54*G54</f>
        <v>5354.9999999999991</v>
      </c>
      <c r="L54" s="16"/>
      <c r="M54" s="16"/>
    </row>
    <row r="55" spans="2:14" ht="15.75">
      <c r="B55" s="93"/>
      <c r="C55" s="100">
        <f t="shared" si="5"/>
        <v>7.0899999999999981</v>
      </c>
      <c r="D55" s="29">
        <v>1</v>
      </c>
      <c r="E55" s="21"/>
      <c r="F55" s="8" t="s">
        <v>169</v>
      </c>
      <c r="G55" s="26">
        <f>12*2</f>
        <v>24</v>
      </c>
      <c r="H55" s="18" t="s">
        <v>75</v>
      </c>
      <c r="I55" s="68">
        <v>150</v>
      </c>
      <c r="J55" s="68">
        <f t="shared" ref="J55" si="9">I55*G55</f>
        <v>3600</v>
      </c>
    </row>
    <row r="56" spans="2:14" ht="15.75">
      <c r="B56" s="93"/>
      <c r="C56" s="100">
        <f t="shared" si="5"/>
        <v>7.0999999999999979</v>
      </c>
      <c r="D56" s="29">
        <v>1</v>
      </c>
      <c r="E56" s="21"/>
      <c r="F56" s="8" t="s">
        <v>170</v>
      </c>
      <c r="G56" s="26">
        <f>39*0.9</f>
        <v>35.1</v>
      </c>
      <c r="H56" s="18" t="s">
        <v>75</v>
      </c>
      <c r="I56" s="68">
        <v>100</v>
      </c>
      <c r="J56" s="68">
        <f t="shared" ref="J56" si="10">I56*G56</f>
        <v>3510</v>
      </c>
      <c r="K56" s="16"/>
      <c r="N56" s="16"/>
    </row>
    <row r="57" spans="2:14" ht="15.75">
      <c r="B57" s="93"/>
      <c r="C57" s="100">
        <f t="shared" si="5"/>
        <v>7.1099999999999977</v>
      </c>
      <c r="D57" s="29">
        <v>1</v>
      </c>
      <c r="E57" s="21"/>
      <c r="F57" s="8" t="s">
        <v>171</v>
      </c>
      <c r="G57" s="26">
        <v>12</v>
      </c>
      <c r="H57" s="18" t="s">
        <v>172</v>
      </c>
      <c r="I57" s="68">
        <v>100</v>
      </c>
      <c r="J57" s="68">
        <f t="shared" ref="J57" si="11">I57*G57</f>
        <v>1200</v>
      </c>
    </row>
    <row r="58" spans="2:14">
      <c r="B58" s="65"/>
      <c r="C58" s="100">
        <f t="shared" si="5"/>
        <v>7.1199999999999974</v>
      </c>
      <c r="D58" s="29">
        <v>1.2E-2</v>
      </c>
      <c r="E58" s="21"/>
      <c r="F58" s="8" t="s">
        <v>148</v>
      </c>
      <c r="G58" s="26">
        <f>G46*D58</f>
        <v>29.655599999999996</v>
      </c>
      <c r="H58" s="18" t="s">
        <v>126</v>
      </c>
      <c r="I58" s="68">
        <v>1000</v>
      </c>
      <c r="J58" s="68">
        <f t="shared" si="4"/>
        <v>29655.599999999995</v>
      </c>
    </row>
    <row r="59" spans="2:14">
      <c r="B59" s="65"/>
      <c r="C59" s="100">
        <f t="shared" si="5"/>
        <v>7.1299999999999972</v>
      </c>
      <c r="D59" s="29">
        <v>7.0000000000000001E-3</v>
      </c>
      <c r="E59" s="21"/>
      <c r="F59" s="8" t="s">
        <v>125</v>
      </c>
      <c r="G59" s="26">
        <f>G46*D59</f>
        <v>17.299099999999999</v>
      </c>
      <c r="H59" s="18" t="s">
        <v>126</v>
      </c>
      <c r="I59" s="68">
        <v>350</v>
      </c>
      <c r="J59" s="68">
        <f t="shared" si="4"/>
        <v>6054.6849999999995</v>
      </c>
    </row>
    <row r="60" spans="2:14">
      <c r="B60" s="65" t="s">
        <v>173</v>
      </c>
      <c r="C60" s="18"/>
      <c r="D60" s="33"/>
      <c r="E60" s="21"/>
      <c r="F60" s="8"/>
      <c r="G60" s="18"/>
      <c r="H60" s="18"/>
      <c r="I60" s="18"/>
      <c r="J60" s="18"/>
    </row>
    <row r="61" spans="2:14" s="16" customFormat="1" ht="20.100000000000001" customHeight="1">
      <c r="B61" s="76" t="s">
        <v>174</v>
      </c>
      <c r="C61" s="90">
        <v>8</v>
      </c>
      <c r="D61" s="91"/>
      <c r="E61" s="76"/>
      <c r="F61" s="119" t="s">
        <v>175</v>
      </c>
      <c r="G61" s="94">
        <f>ESTIMATIONS!G58</f>
        <v>21.008000000000003</v>
      </c>
      <c r="H61" s="76" t="s">
        <v>131</v>
      </c>
      <c r="I61" s="77">
        <f>IF(G61&gt;=1, J61/G61, 0)</f>
        <v>6224.0000000000009</v>
      </c>
      <c r="J61" s="77">
        <f>SUM(J62:J67)</f>
        <v>130753.79200000003</v>
      </c>
      <c r="K61"/>
      <c r="L61"/>
      <c r="M61"/>
      <c r="N61"/>
    </row>
    <row r="62" spans="2:14" ht="15.75">
      <c r="B62" s="65"/>
      <c r="C62" s="18">
        <v>8.01</v>
      </c>
      <c r="D62" s="29">
        <v>0.43</v>
      </c>
      <c r="E62" s="89"/>
      <c r="F62" s="8" t="s">
        <v>145</v>
      </c>
      <c r="G62" s="26">
        <f>D62*G61</f>
        <v>9.0334400000000006</v>
      </c>
      <c r="H62" s="18" t="s">
        <v>144</v>
      </c>
      <c r="I62" s="68">
        <v>800</v>
      </c>
      <c r="J62" s="68">
        <f t="shared" ref="J62:J67" si="12">I62*G62</f>
        <v>7226.7520000000004</v>
      </c>
    </row>
    <row r="63" spans="2:14">
      <c r="B63" s="65"/>
      <c r="C63" s="18">
        <v>8.02</v>
      </c>
      <c r="D63" s="29">
        <v>0.85</v>
      </c>
      <c r="E63" s="21"/>
      <c r="F63" s="8" t="s">
        <v>176</v>
      </c>
      <c r="G63" s="26">
        <f>D63*G61</f>
        <v>17.856800000000003</v>
      </c>
      <c r="H63" s="18" t="s">
        <v>144</v>
      </c>
      <c r="I63" s="68">
        <v>800</v>
      </c>
      <c r="J63" s="68">
        <f t="shared" si="12"/>
        <v>14285.440000000002</v>
      </c>
    </row>
    <row r="64" spans="2:14">
      <c r="B64" s="65"/>
      <c r="C64" s="18">
        <v>8.0299999999999994</v>
      </c>
      <c r="D64" s="29">
        <v>540</v>
      </c>
      <c r="E64" s="21"/>
      <c r="F64" s="8" t="s">
        <v>132</v>
      </c>
      <c r="G64" s="25">
        <f>SUM(D64*G61)</f>
        <v>11344.320000000002</v>
      </c>
      <c r="H64" s="18" t="s">
        <v>146</v>
      </c>
      <c r="I64" s="68">
        <v>6</v>
      </c>
      <c r="J64" s="68">
        <f t="shared" si="12"/>
        <v>68065.920000000013</v>
      </c>
    </row>
    <row r="65" spans="2:10">
      <c r="B65" s="66"/>
      <c r="C65" s="18">
        <v>8.0399999999999991</v>
      </c>
      <c r="D65" s="29">
        <v>160</v>
      </c>
      <c r="E65" s="21"/>
      <c r="F65" s="8" t="s">
        <v>134</v>
      </c>
      <c r="G65" s="26">
        <f>D65*G61</f>
        <v>3361.2800000000007</v>
      </c>
      <c r="H65" s="18" t="s">
        <v>147</v>
      </c>
      <c r="I65" s="68">
        <v>0</v>
      </c>
      <c r="J65" s="68">
        <f t="shared" si="12"/>
        <v>0</v>
      </c>
    </row>
    <row r="66" spans="2:10">
      <c r="B66" s="66"/>
      <c r="C66" s="18">
        <v>8.09</v>
      </c>
      <c r="D66" s="29">
        <v>0.7</v>
      </c>
      <c r="E66" s="21"/>
      <c r="F66" s="8" t="s">
        <v>148</v>
      </c>
      <c r="G66" s="26">
        <f>D66*G61</f>
        <v>14.7056</v>
      </c>
      <c r="H66" s="18" t="s">
        <v>126</v>
      </c>
      <c r="I66" s="68">
        <v>1000</v>
      </c>
      <c r="J66" s="68">
        <f t="shared" si="12"/>
        <v>14705.6</v>
      </c>
    </row>
    <row r="67" spans="2:10">
      <c r="B67" s="66"/>
      <c r="C67" s="26">
        <v>8.1</v>
      </c>
      <c r="D67" s="29">
        <v>3.6</v>
      </c>
      <c r="E67" s="21"/>
      <c r="F67" s="8" t="s">
        <v>125</v>
      </c>
      <c r="G67" s="26">
        <f>SUM(D67*G61)</f>
        <v>75.628800000000012</v>
      </c>
      <c r="H67" s="18" t="s">
        <v>126</v>
      </c>
      <c r="I67" s="30">
        <v>350</v>
      </c>
      <c r="J67" s="68">
        <f t="shared" si="12"/>
        <v>26470.080000000005</v>
      </c>
    </row>
    <row r="68" spans="2:10">
      <c r="B68" s="65" t="s">
        <v>177</v>
      </c>
      <c r="C68" s="18"/>
      <c r="D68" s="33"/>
      <c r="E68" s="21"/>
      <c r="F68" s="8"/>
      <c r="G68" s="18"/>
      <c r="H68" s="18"/>
      <c r="I68" s="18"/>
      <c r="J68" s="18"/>
    </row>
    <row r="69" spans="2:10" ht="20.100000000000001" customHeight="1">
      <c r="B69" s="76" t="s">
        <v>178</v>
      </c>
      <c r="C69" s="90">
        <v>9</v>
      </c>
      <c r="D69" s="91"/>
      <c r="E69" s="76"/>
      <c r="F69" s="119" t="s">
        <v>179</v>
      </c>
      <c r="G69" s="94">
        <f>SUM(G70:G71)</f>
        <v>0</v>
      </c>
      <c r="H69" s="76" t="s">
        <v>180</v>
      </c>
      <c r="I69" s="78">
        <f>IF(G69&gt;=1, J69/G69, 0)</f>
        <v>0</v>
      </c>
      <c r="J69" s="78">
        <f>SUM(J70:J71)</f>
        <v>0</v>
      </c>
    </row>
    <row r="70" spans="2:10" ht="15.75">
      <c r="B70" s="66"/>
      <c r="C70" s="100">
        <v>9.01</v>
      </c>
      <c r="D70" s="32">
        <v>0.43</v>
      </c>
      <c r="E70" s="89"/>
      <c r="F70" s="8" t="s">
        <v>181</v>
      </c>
      <c r="G70" s="26">
        <v>0</v>
      </c>
      <c r="H70" s="18" t="s">
        <v>182</v>
      </c>
      <c r="I70" s="68">
        <v>350</v>
      </c>
      <c r="J70" s="68">
        <f>I70*G70</f>
        <v>0</v>
      </c>
    </row>
    <row r="71" spans="2:10">
      <c r="B71" s="65"/>
      <c r="C71" s="18">
        <v>9.02</v>
      </c>
      <c r="D71" s="32">
        <v>0.85</v>
      </c>
      <c r="E71" s="21"/>
      <c r="F71" s="8" t="s">
        <v>183</v>
      </c>
      <c r="G71" s="26">
        <v>0</v>
      </c>
      <c r="H71" s="18" t="s">
        <v>184</v>
      </c>
      <c r="I71" s="68">
        <v>1000</v>
      </c>
      <c r="J71" s="68">
        <f>I71*G71</f>
        <v>0</v>
      </c>
    </row>
    <row r="72" spans="2:10" ht="20.100000000000001" customHeight="1">
      <c r="B72" s="76" t="s">
        <v>185</v>
      </c>
      <c r="C72" s="90">
        <v>10</v>
      </c>
      <c r="D72" s="91"/>
      <c r="E72" s="76"/>
      <c r="F72" s="95" t="str">
        <f>ESTIMATIONS!B59</f>
        <v>SHUTTERING</v>
      </c>
      <c r="G72" s="94">
        <f>ESTIMATIONS!G67</f>
        <v>136.82</v>
      </c>
      <c r="H72" s="76" t="s">
        <v>124</v>
      </c>
      <c r="I72" s="78">
        <f>IF(G72&gt;=1, J72/G72, 0)</f>
        <v>250</v>
      </c>
      <c r="J72" s="78">
        <f>SUM(J73:J73)</f>
        <v>34205</v>
      </c>
    </row>
    <row r="73" spans="2:10" ht="15.75">
      <c r="B73" s="93"/>
      <c r="C73" s="100">
        <v>10.01</v>
      </c>
      <c r="D73" s="32"/>
      <c r="E73" s="21"/>
      <c r="F73" s="8" t="s">
        <v>186</v>
      </c>
      <c r="G73" s="96">
        <f>G72</f>
        <v>136.82</v>
      </c>
      <c r="H73" s="7" t="s">
        <v>187</v>
      </c>
      <c r="I73" s="97">
        <v>250</v>
      </c>
      <c r="J73" s="97">
        <f>I73*G73</f>
        <v>34205</v>
      </c>
    </row>
    <row r="74" spans="2:10">
      <c r="B74" s="65"/>
      <c r="C74" s="18"/>
      <c r="D74" s="33"/>
      <c r="E74" s="21"/>
      <c r="F74" s="8"/>
      <c r="G74" s="18"/>
      <c r="H74" s="18"/>
      <c r="I74" s="18"/>
      <c r="J74" s="18"/>
    </row>
    <row r="75" spans="2:10" ht="20.100000000000001" customHeight="1">
      <c r="B75" s="76" t="s">
        <v>188</v>
      </c>
      <c r="C75" s="90">
        <v>11</v>
      </c>
      <c r="D75" s="91"/>
      <c r="E75" s="76"/>
      <c r="F75" s="119" t="s">
        <v>189</v>
      </c>
      <c r="G75" s="94">
        <f>ESTIMATIONS!G79</f>
        <v>146.07999999999998</v>
      </c>
      <c r="H75" s="76" t="s">
        <v>124</v>
      </c>
      <c r="I75" s="78">
        <f>IF(G75&gt;=1, J75/G75, 0)</f>
        <v>197.04</v>
      </c>
      <c r="J75" s="78">
        <f>SUM(J76:J81)</f>
        <v>28783.603199999998</v>
      </c>
    </row>
    <row r="76" spans="2:10">
      <c r="B76" s="66"/>
      <c r="C76" s="100">
        <v>11.01</v>
      </c>
      <c r="D76" s="32">
        <v>1.04E-2</v>
      </c>
      <c r="E76" s="21"/>
      <c r="F76" s="8" t="s">
        <v>190</v>
      </c>
      <c r="G76" s="26">
        <f>D76*G75</f>
        <v>1.5192319999999997</v>
      </c>
      <c r="H76" s="18" t="s">
        <v>144</v>
      </c>
      <c r="I76" s="68">
        <v>800</v>
      </c>
      <c r="J76" s="68">
        <f>I76*G76</f>
        <v>1215.3855999999998</v>
      </c>
    </row>
    <row r="77" spans="2:10">
      <c r="B77" s="66"/>
      <c r="C77" s="100">
        <v>11.02</v>
      </c>
      <c r="D77" s="32">
        <v>3.12</v>
      </c>
      <c r="E77" s="21"/>
      <c r="F77" s="8" t="s">
        <v>191</v>
      </c>
      <c r="G77" s="26">
        <f>D77*G75</f>
        <v>455.76959999999997</v>
      </c>
      <c r="H77" s="18" t="s">
        <v>146</v>
      </c>
      <c r="I77" s="68">
        <v>6</v>
      </c>
      <c r="J77" s="68">
        <f>I77*G77</f>
        <v>2734.6175999999996</v>
      </c>
    </row>
    <row r="78" spans="2:10">
      <c r="B78" s="66"/>
      <c r="C78" s="100">
        <v>11.03</v>
      </c>
      <c r="D78" s="32">
        <v>2.5099999999999998</v>
      </c>
      <c r="E78" s="21"/>
      <c r="F78" s="8" t="s">
        <v>134</v>
      </c>
      <c r="G78" s="26">
        <f>D78*G75</f>
        <v>366.66079999999994</v>
      </c>
      <c r="H78" s="18" t="s">
        <v>147</v>
      </c>
      <c r="I78" s="68">
        <v>0</v>
      </c>
      <c r="J78" s="68">
        <f>I78*G78</f>
        <v>0</v>
      </c>
    </row>
    <row r="79" spans="2:10">
      <c r="B79" s="66"/>
      <c r="C79" s="100">
        <v>11.04</v>
      </c>
      <c r="D79" s="32">
        <v>0.1</v>
      </c>
      <c r="E79" s="21"/>
      <c r="F79" s="8" t="s">
        <v>148</v>
      </c>
      <c r="G79" s="26">
        <f>D79*G75</f>
        <v>14.607999999999999</v>
      </c>
      <c r="H79" s="18" t="s">
        <v>126</v>
      </c>
      <c r="I79" s="68">
        <v>1000</v>
      </c>
      <c r="J79" s="68">
        <f>I79*G79</f>
        <v>14607.999999999998</v>
      </c>
    </row>
    <row r="80" spans="2:10">
      <c r="B80" s="66"/>
      <c r="C80" s="100">
        <v>11.05</v>
      </c>
      <c r="D80" s="32">
        <v>0.2</v>
      </c>
      <c r="E80" s="21"/>
      <c r="F80" s="8" t="s">
        <v>125</v>
      </c>
      <c r="G80" s="26">
        <f>D80*G75</f>
        <v>29.215999999999998</v>
      </c>
      <c r="H80" s="18" t="s">
        <v>126</v>
      </c>
      <c r="I80" s="30">
        <v>350</v>
      </c>
      <c r="J80" s="68">
        <f>I80*G80</f>
        <v>10225.599999999999</v>
      </c>
    </row>
    <row r="81" spans="2:14">
      <c r="B81" s="65"/>
      <c r="C81" s="100"/>
      <c r="D81" s="32"/>
      <c r="E81" s="21"/>
      <c r="F81" s="8"/>
      <c r="G81" s="26"/>
      <c r="H81" s="18"/>
      <c r="I81" s="17"/>
      <c r="J81" s="17"/>
    </row>
    <row r="82" spans="2:14" ht="20.100000000000001" customHeight="1">
      <c r="B82" s="76" t="s">
        <v>192</v>
      </c>
      <c r="C82" s="90">
        <v>12</v>
      </c>
      <c r="D82" s="91"/>
      <c r="E82" s="76"/>
      <c r="F82" s="98" t="s">
        <v>193</v>
      </c>
      <c r="G82" s="94">
        <f>ESTIMATIONS!G104</f>
        <v>27.900000000000002</v>
      </c>
      <c r="H82" s="76" t="s">
        <v>124</v>
      </c>
      <c r="I82" s="78">
        <f>IF(G82&gt;=1, J82/G82, 0)</f>
        <v>437.04</v>
      </c>
      <c r="J82" s="78">
        <f>SUM(J83:J88)</f>
        <v>12193.416000000001</v>
      </c>
    </row>
    <row r="83" spans="2:14">
      <c r="B83" s="99"/>
      <c r="C83" s="69">
        <v>12.01</v>
      </c>
      <c r="D83" s="32">
        <v>1.04E-2</v>
      </c>
      <c r="E83" s="21"/>
      <c r="F83" s="8" t="s">
        <v>194</v>
      </c>
      <c r="G83" s="26">
        <f>G82</f>
        <v>27.900000000000002</v>
      </c>
      <c r="H83" s="18" t="s">
        <v>195</v>
      </c>
      <c r="I83" s="68">
        <v>240</v>
      </c>
      <c r="J83" s="68">
        <f t="shared" ref="J83:J88" si="13">I83*G83</f>
        <v>6696.0000000000009</v>
      </c>
    </row>
    <row r="84" spans="2:14">
      <c r="B84" s="99"/>
      <c r="C84" s="69">
        <v>12.04</v>
      </c>
      <c r="D84" s="32">
        <v>1.04E-2</v>
      </c>
      <c r="E84" s="21"/>
      <c r="F84" s="8" t="s">
        <v>145</v>
      </c>
      <c r="G84" s="26">
        <f>D84*G82</f>
        <v>0.29016000000000003</v>
      </c>
      <c r="H84" s="18" t="s">
        <v>144</v>
      </c>
      <c r="I84" s="68">
        <v>800</v>
      </c>
      <c r="J84" s="68">
        <f t="shared" si="13"/>
        <v>232.12800000000001</v>
      </c>
    </row>
    <row r="85" spans="2:14">
      <c r="B85" s="66"/>
      <c r="C85" s="100">
        <v>11.03</v>
      </c>
      <c r="D85" s="32">
        <v>3.12</v>
      </c>
      <c r="E85" s="21"/>
      <c r="F85" s="8" t="s">
        <v>196</v>
      </c>
      <c r="G85" s="26">
        <f>D85*G82</f>
        <v>87.048000000000016</v>
      </c>
      <c r="H85" s="18" t="s">
        <v>146</v>
      </c>
      <c r="I85" s="68">
        <v>6</v>
      </c>
      <c r="J85" s="68">
        <f t="shared" si="13"/>
        <v>522.28800000000012</v>
      </c>
    </row>
    <row r="86" spans="2:14">
      <c r="B86" s="66"/>
      <c r="C86" s="100">
        <v>11.04</v>
      </c>
      <c r="D86" s="32">
        <v>2.5099999999999998</v>
      </c>
      <c r="E86" s="21"/>
      <c r="F86" s="8" t="s">
        <v>134</v>
      </c>
      <c r="G86" s="26">
        <f>D86*G82</f>
        <v>70.028999999999996</v>
      </c>
      <c r="H86" s="18" t="s">
        <v>147</v>
      </c>
      <c r="I86" s="68">
        <v>0</v>
      </c>
      <c r="J86" s="68">
        <f t="shared" si="13"/>
        <v>0</v>
      </c>
    </row>
    <row r="87" spans="2:14">
      <c r="B87" s="66"/>
      <c r="C87" s="100">
        <v>11.05</v>
      </c>
      <c r="D87" s="32">
        <v>0.1</v>
      </c>
      <c r="E87" s="21"/>
      <c r="F87" s="8" t="s">
        <v>148</v>
      </c>
      <c r="G87" s="26">
        <f>D87*G82</f>
        <v>2.7900000000000005</v>
      </c>
      <c r="H87" s="18" t="s">
        <v>126</v>
      </c>
      <c r="I87" s="68">
        <v>1000</v>
      </c>
      <c r="J87" s="68">
        <f t="shared" si="13"/>
        <v>2790.0000000000005</v>
      </c>
      <c r="L87" s="16"/>
      <c r="M87" s="16"/>
    </row>
    <row r="88" spans="2:14">
      <c r="B88" s="66"/>
      <c r="C88" s="100">
        <v>11.06</v>
      </c>
      <c r="D88" s="32">
        <v>0.2</v>
      </c>
      <c r="E88" s="21"/>
      <c r="F88" s="8" t="s">
        <v>125</v>
      </c>
      <c r="G88" s="26">
        <f>D88*G82</f>
        <v>5.580000000000001</v>
      </c>
      <c r="H88" s="18" t="s">
        <v>126</v>
      </c>
      <c r="I88" s="30">
        <v>350</v>
      </c>
      <c r="J88" s="68">
        <f t="shared" si="13"/>
        <v>1953.0000000000002</v>
      </c>
    </row>
    <row r="89" spans="2:14">
      <c r="B89" s="65" t="s">
        <v>197</v>
      </c>
      <c r="C89" s="100"/>
      <c r="D89" s="29"/>
      <c r="E89" s="65"/>
      <c r="F89" s="8"/>
      <c r="G89" s="26"/>
      <c r="H89" s="18"/>
      <c r="I89" s="17"/>
      <c r="J89" s="17"/>
    </row>
    <row r="90" spans="2:14" ht="20.100000000000001" customHeight="1">
      <c r="B90" s="76" t="s">
        <v>198</v>
      </c>
      <c r="C90" s="90">
        <v>13</v>
      </c>
      <c r="D90" s="91"/>
      <c r="E90" s="76"/>
      <c r="F90" s="119" t="s">
        <v>199</v>
      </c>
      <c r="G90" s="94">
        <f>ESTIMATIONS!G94</f>
        <v>158.07999999999998</v>
      </c>
      <c r="H90" s="76" t="s">
        <v>124</v>
      </c>
      <c r="I90" s="78">
        <f>IF(G90&gt;=1, J90/G90, 0)</f>
        <v>390.60728744939274</v>
      </c>
      <c r="J90" s="78">
        <f>SUM(J91:J94)</f>
        <v>61747.199999999997</v>
      </c>
    </row>
    <row r="91" spans="2:14">
      <c r="B91" s="66"/>
      <c r="C91" s="100">
        <v>13.01</v>
      </c>
      <c r="D91" s="32">
        <v>1</v>
      </c>
      <c r="E91" s="27"/>
      <c r="F91" s="8" t="s">
        <v>200</v>
      </c>
      <c r="G91" s="26">
        <f>D91*G90</f>
        <v>158.07999999999998</v>
      </c>
      <c r="H91" s="18" t="s">
        <v>11</v>
      </c>
      <c r="I91" s="68">
        <v>170</v>
      </c>
      <c r="J91" s="68">
        <f>I91*G91</f>
        <v>26873.599999999999</v>
      </c>
    </row>
    <row r="92" spans="2:14">
      <c r="B92" s="66"/>
      <c r="C92" s="100">
        <v>13.02</v>
      </c>
      <c r="D92" s="32">
        <v>0.1</v>
      </c>
      <c r="E92" s="21"/>
      <c r="F92" s="8" t="s">
        <v>57</v>
      </c>
      <c r="G92" s="26">
        <f>ESTIMATIONS!G85</f>
        <v>16</v>
      </c>
      <c r="H92" s="18" t="s">
        <v>11</v>
      </c>
      <c r="I92" s="68">
        <v>500</v>
      </c>
      <c r="J92" s="68">
        <f>I92*G92</f>
        <v>8000</v>
      </c>
      <c r="K92" s="16"/>
      <c r="L92" s="16"/>
      <c r="M92" s="16"/>
      <c r="N92" s="16"/>
    </row>
    <row r="93" spans="2:14">
      <c r="B93" s="66"/>
      <c r="C93" s="100">
        <v>13.03</v>
      </c>
      <c r="D93" s="32">
        <v>0.1</v>
      </c>
      <c r="E93" s="21"/>
      <c r="F93" s="8" t="s">
        <v>148</v>
      </c>
      <c r="G93" s="26">
        <f>D93*G90</f>
        <v>15.808</v>
      </c>
      <c r="H93" s="18" t="s">
        <v>126</v>
      </c>
      <c r="I93" s="68">
        <v>1000</v>
      </c>
      <c r="J93" s="68">
        <f>I93*G93</f>
        <v>15808</v>
      </c>
    </row>
    <row r="94" spans="2:14">
      <c r="B94" s="99"/>
      <c r="C94" s="100">
        <v>13.04</v>
      </c>
      <c r="D94" s="32">
        <v>0.2</v>
      </c>
      <c r="E94" s="21"/>
      <c r="F94" s="8" t="s">
        <v>125</v>
      </c>
      <c r="G94" s="26">
        <f>D94*G90</f>
        <v>31.616</v>
      </c>
      <c r="H94" s="18" t="s">
        <v>126</v>
      </c>
      <c r="I94" s="30">
        <v>350</v>
      </c>
      <c r="J94" s="68">
        <f>I94*G94</f>
        <v>11065.6</v>
      </c>
    </row>
    <row r="95" spans="2:14" s="16" customFormat="1" ht="20.100000000000001" customHeight="1">
      <c r="B95" s="76" t="s">
        <v>201</v>
      </c>
      <c r="C95" s="90">
        <v>14</v>
      </c>
      <c r="D95" s="91"/>
      <c r="E95" s="76"/>
      <c r="F95" s="95" t="s">
        <v>202</v>
      </c>
      <c r="G95" s="94">
        <f>SUM(G96:G97)</f>
        <v>0</v>
      </c>
      <c r="H95" s="76" t="s">
        <v>124</v>
      </c>
      <c r="I95" s="77">
        <f>IF(G95&gt;=1, J95/G95, 0)</f>
        <v>0</v>
      </c>
      <c r="J95" s="77">
        <f>SUM(J96:J98)</f>
        <v>0</v>
      </c>
      <c r="K95"/>
      <c r="L95"/>
      <c r="M95"/>
      <c r="N95"/>
    </row>
    <row r="96" spans="2:14">
      <c r="B96" s="66"/>
      <c r="C96" s="100">
        <v>14.01</v>
      </c>
      <c r="D96" s="32">
        <v>1</v>
      </c>
      <c r="E96" s="27"/>
      <c r="F96" s="8" t="s">
        <v>203</v>
      </c>
      <c r="G96" s="26">
        <f>ESTIMATIONS!G108</f>
        <v>0</v>
      </c>
      <c r="H96" s="18" t="s">
        <v>204</v>
      </c>
      <c r="I96" s="68">
        <v>3150</v>
      </c>
      <c r="J96" s="68">
        <f>I96*G96</f>
        <v>0</v>
      </c>
    </row>
    <row r="97" spans="2:14">
      <c r="B97" s="66"/>
      <c r="C97" s="100">
        <v>14.02</v>
      </c>
      <c r="D97" s="32">
        <v>1</v>
      </c>
      <c r="E97" s="27"/>
      <c r="F97" s="8" t="s">
        <v>205</v>
      </c>
      <c r="G97" s="26">
        <f>ESTIMATIONS!G112</f>
        <v>0</v>
      </c>
      <c r="H97" s="18" t="s">
        <v>204</v>
      </c>
      <c r="I97" s="68">
        <v>2350</v>
      </c>
      <c r="J97" s="68">
        <f>I97*G97</f>
        <v>0</v>
      </c>
    </row>
    <row r="98" spans="2:14">
      <c r="B98" s="66"/>
      <c r="C98" s="100">
        <v>14.03</v>
      </c>
      <c r="D98" s="32">
        <v>1</v>
      </c>
      <c r="E98" s="27"/>
      <c r="F98" s="8" t="s">
        <v>206</v>
      </c>
      <c r="G98" s="18">
        <v>0</v>
      </c>
      <c r="H98" s="18" t="s">
        <v>88</v>
      </c>
      <c r="I98" s="30">
        <v>2000</v>
      </c>
      <c r="J98" s="68">
        <f>I98*G98</f>
        <v>0</v>
      </c>
    </row>
    <row r="99" spans="2:14">
      <c r="B99" s="65" t="s">
        <v>207</v>
      </c>
      <c r="C99" s="100"/>
      <c r="D99" s="32"/>
      <c r="E99" s="21"/>
      <c r="F99" s="8"/>
      <c r="G99" s="26"/>
      <c r="H99" s="18"/>
      <c r="I99" s="17"/>
      <c r="J99" s="17"/>
    </row>
    <row r="100" spans="2:14" s="16" customFormat="1" ht="20.100000000000001" customHeight="1">
      <c r="B100" s="76" t="s">
        <v>208</v>
      </c>
      <c r="C100" s="90">
        <v>15</v>
      </c>
      <c r="D100" s="91"/>
      <c r="E100" s="71"/>
      <c r="F100" s="102" t="s">
        <v>209</v>
      </c>
      <c r="G100" s="94">
        <v>1</v>
      </c>
      <c r="H100" s="76" t="s">
        <v>88</v>
      </c>
      <c r="I100" s="77">
        <f>IF(G100&gt;=1, J100/G100, 0)</f>
        <v>87400</v>
      </c>
      <c r="J100" s="77">
        <f>SUM(J101:J117)</f>
        <v>87400</v>
      </c>
      <c r="K100"/>
      <c r="L100"/>
      <c r="M100"/>
      <c r="N100"/>
    </row>
    <row r="101" spans="2:14">
      <c r="B101" s="66"/>
      <c r="C101" s="69">
        <v>15.01</v>
      </c>
      <c r="D101" s="32"/>
      <c r="E101" s="21"/>
      <c r="F101" s="8" t="s">
        <v>210</v>
      </c>
      <c r="G101" s="25">
        <v>0</v>
      </c>
      <c r="H101" s="18" t="s">
        <v>84</v>
      </c>
      <c r="I101" s="68">
        <v>12000</v>
      </c>
      <c r="J101" s="68">
        <f t="shared" ref="J101:J117" si="14">G101*I101</f>
        <v>0</v>
      </c>
    </row>
    <row r="102" spans="2:14">
      <c r="B102" s="66"/>
      <c r="C102" s="69">
        <f>C101+0.01</f>
        <v>15.02</v>
      </c>
      <c r="D102" s="32"/>
      <c r="E102" s="21"/>
      <c r="F102" s="8" t="s">
        <v>211</v>
      </c>
      <c r="G102" s="25">
        <v>0</v>
      </c>
      <c r="H102" s="18" t="s">
        <v>84</v>
      </c>
      <c r="I102" s="68">
        <v>6500</v>
      </c>
      <c r="J102" s="68">
        <f t="shared" si="14"/>
        <v>0</v>
      </c>
    </row>
    <row r="103" spans="2:14">
      <c r="B103" s="66"/>
      <c r="C103" s="69">
        <f t="shared" ref="C103:C117" si="15">C102+0.01</f>
        <v>15.03</v>
      </c>
      <c r="D103" s="32"/>
      <c r="E103" s="21"/>
      <c r="F103" s="8" t="s">
        <v>212</v>
      </c>
      <c r="G103" s="25">
        <v>0</v>
      </c>
      <c r="H103" s="18" t="s">
        <v>84</v>
      </c>
      <c r="I103" s="68">
        <v>15000</v>
      </c>
      <c r="J103" s="68">
        <f t="shared" si="14"/>
        <v>0</v>
      </c>
    </row>
    <row r="104" spans="2:14">
      <c r="B104" s="66"/>
      <c r="C104" s="69">
        <f t="shared" si="15"/>
        <v>15.04</v>
      </c>
      <c r="D104" s="32"/>
      <c r="E104" s="21"/>
      <c r="F104" s="8" t="s">
        <v>213</v>
      </c>
      <c r="G104" s="18">
        <v>0</v>
      </c>
      <c r="H104" s="18" t="s">
        <v>214</v>
      </c>
      <c r="I104" s="68">
        <v>8000</v>
      </c>
      <c r="J104" s="68">
        <f t="shared" si="14"/>
        <v>0</v>
      </c>
    </row>
    <row r="105" spans="2:14">
      <c r="B105" s="66"/>
      <c r="C105" s="69">
        <f t="shared" si="15"/>
        <v>15.049999999999999</v>
      </c>
      <c r="D105" s="32"/>
      <c r="E105" s="21"/>
      <c r="F105" s="8" t="str">
        <f>ESTIMATIONS!B120</f>
        <v>Hand washing sinks with high quality brass lever faucet, mirror and accessories</v>
      </c>
      <c r="G105" s="25">
        <f>ESTIMATIONS!G120</f>
        <v>7</v>
      </c>
      <c r="H105" s="18" t="s">
        <v>82</v>
      </c>
      <c r="I105" s="68">
        <v>1400</v>
      </c>
      <c r="J105" s="68">
        <f t="shared" si="14"/>
        <v>9800</v>
      </c>
    </row>
    <row r="106" spans="2:14">
      <c r="B106" s="66"/>
      <c r="C106" s="69">
        <f t="shared" si="15"/>
        <v>15.059999999999999</v>
      </c>
      <c r="D106" s="32"/>
      <c r="E106" s="21"/>
      <c r="F106" s="8" t="s">
        <v>215</v>
      </c>
      <c r="G106" s="25">
        <v>0</v>
      </c>
      <c r="H106" s="18" t="s">
        <v>153</v>
      </c>
      <c r="I106" s="68">
        <v>600</v>
      </c>
      <c r="J106" s="68">
        <f t="shared" si="14"/>
        <v>0</v>
      </c>
    </row>
    <row r="107" spans="2:14" ht="22.5">
      <c r="B107" s="66"/>
      <c r="C107" s="69">
        <f t="shared" si="15"/>
        <v>15.069999999999999</v>
      </c>
      <c r="D107" s="32"/>
      <c r="E107" s="21"/>
      <c r="F107" s="8" t="s">
        <v>216</v>
      </c>
      <c r="G107" s="25">
        <v>0</v>
      </c>
      <c r="H107" s="18" t="s">
        <v>153</v>
      </c>
      <c r="I107" s="68">
        <v>4000</v>
      </c>
      <c r="J107" s="68">
        <f t="shared" si="14"/>
        <v>0</v>
      </c>
    </row>
    <row r="108" spans="2:14">
      <c r="B108" s="66"/>
      <c r="C108" s="69">
        <f t="shared" si="15"/>
        <v>15.079999999999998</v>
      </c>
      <c r="D108" s="32"/>
      <c r="E108" s="21"/>
      <c r="F108" s="8" t="s">
        <v>217</v>
      </c>
      <c r="G108" s="25">
        <v>0</v>
      </c>
      <c r="H108" s="18" t="s">
        <v>153</v>
      </c>
      <c r="I108" s="68">
        <v>25</v>
      </c>
      <c r="J108" s="68">
        <f t="shared" si="14"/>
        <v>0</v>
      </c>
    </row>
    <row r="109" spans="2:14">
      <c r="B109" s="66"/>
      <c r="C109" s="69">
        <f t="shared" si="15"/>
        <v>15.089999999999998</v>
      </c>
      <c r="D109" s="32"/>
      <c r="E109" s="21"/>
      <c r="F109" s="70" t="s">
        <v>218</v>
      </c>
      <c r="G109" s="25">
        <v>0</v>
      </c>
      <c r="H109" s="18" t="s">
        <v>153</v>
      </c>
      <c r="I109" s="68">
        <v>150</v>
      </c>
      <c r="J109" s="68">
        <f t="shared" si="14"/>
        <v>0</v>
      </c>
    </row>
    <row r="110" spans="2:14">
      <c r="B110" s="66"/>
      <c r="C110" s="69">
        <f t="shared" si="15"/>
        <v>15.099999999999998</v>
      </c>
      <c r="D110" s="32"/>
      <c r="E110" s="21"/>
      <c r="F110" s="8" t="s">
        <v>219</v>
      </c>
      <c r="G110" s="25">
        <v>0</v>
      </c>
      <c r="H110" s="18" t="s">
        <v>84</v>
      </c>
      <c r="I110" s="68">
        <v>150</v>
      </c>
      <c r="J110" s="68">
        <f t="shared" si="14"/>
        <v>0</v>
      </c>
    </row>
    <row r="111" spans="2:14">
      <c r="B111" s="66"/>
      <c r="C111" s="69">
        <f t="shared" si="15"/>
        <v>15.109999999999998</v>
      </c>
      <c r="D111" s="32"/>
      <c r="E111" s="21"/>
      <c r="F111" s="8" t="s">
        <v>220</v>
      </c>
      <c r="G111" s="25">
        <v>3</v>
      </c>
      <c r="H111" s="18" t="s">
        <v>214</v>
      </c>
      <c r="I111" s="68">
        <v>400</v>
      </c>
      <c r="J111" s="68">
        <f t="shared" si="14"/>
        <v>1200</v>
      </c>
    </row>
    <row r="112" spans="2:14">
      <c r="B112" s="66"/>
      <c r="C112" s="69">
        <f t="shared" si="15"/>
        <v>15.119999999999997</v>
      </c>
      <c r="D112" s="32"/>
      <c r="E112" s="21"/>
      <c r="F112" s="8" t="s">
        <v>221</v>
      </c>
      <c r="G112" s="25">
        <v>2</v>
      </c>
      <c r="H112" s="18" t="s">
        <v>84</v>
      </c>
      <c r="I112" s="68">
        <v>700</v>
      </c>
      <c r="J112" s="68">
        <f t="shared" si="14"/>
        <v>1400</v>
      </c>
    </row>
    <row r="113" spans="2:14">
      <c r="B113" s="66"/>
      <c r="C113" s="69">
        <f t="shared" si="15"/>
        <v>15.129999999999997</v>
      </c>
      <c r="D113" s="32"/>
      <c r="E113" s="21"/>
      <c r="F113" s="8" t="s">
        <v>222</v>
      </c>
      <c r="G113" s="25">
        <v>0</v>
      </c>
      <c r="H113" s="18" t="s">
        <v>84</v>
      </c>
      <c r="I113" s="68">
        <v>800</v>
      </c>
      <c r="J113" s="68">
        <f t="shared" si="14"/>
        <v>0</v>
      </c>
    </row>
    <row r="114" spans="2:14">
      <c r="B114" s="66"/>
      <c r="C114" s="69">
        <f t="shared" si="15"/>
        <v>15.139999999999997</v>
      </c>
      <c r="D114" s="32"/>
      <c r="E114" s="21"/>
      <c r="F114" s="8" t="s">
        <v>223</v>
      </c>
      <c r="G114" s="25">
        <v>0</v>
      </c>
      <c r="H114" s="18" t="s">
        <v>153</v>
      </c>
      <c r="I114" s="68">
        <v>800</v>
      </c>
      <c r="J114" s="68">
        <f t="shared" si="14"/>
        <v>0</v>
      </c>
    </row>
    <row r="115" spans="2:14">
      <c r="B115" s="66"/>
      <c r="C115" s="69">
        <f t="shared" si="15"/>
        <v>15.149999999999997</v>
      </c>
      <c r="D115" s="32"/>
      <c r="E115" s="21"/>
      <c r="F115" s="8" t="s">
        <v>224</v>
      </c>
      <c r="G115" s="25">
        <v>5</v>
      </c>
      <c r="H115" s="18" t="s">
        <v>84</v>
      </c>
      <c r="I115" s="68">
        <v>13000</v>
      </c>
      <c r="J115" s="68">
        <f t="shared" si="14"/>
        <v>65000</v>
      </c>
    </row>
    <row r="116" spans="2:14">
      <c r="B116" s="66"/>
      <c r="C116" s="69">
        <f t="shared" si="15"/>
        <v>15.159999999999997</v>
      </c>
      <c r="D116" s="32"/>
      <c r="E116" s="21"/>
      <c r="F116" s="8" t="s">
        <v>225</v>
      </c>
      <c r="G116" s="25">
        <v>10</v>
      </c>
      <c r="H116" s="18" t="s">
        <v>153</v>
      </c>
      <c r="I116" s="68">
        <v>700</v>
      </c>
      <c r="J116" s="68">
        <f t="shared" si="14"/>
        <v>7000</v>
      </c>
      <c r="K116" s="35"/>
      <c r="L116" s="63"/>
      <c r="M116" s="63"/>
    </row>
    <row r="117" spans="2:14">
      <c r="B117" s="66"/>
      <c r="C117" s="69">
        <f t="shared" si="15"/>
        <v>15.169999999999996</v>
      </c>
      <c r="D117" s="32"/>
      <c r="E117" s="21"/>
      <c r="F117" s="8" t="s">
        <v>226</v>
      </c>
      <c r="G117" s="25">
        <v>1</v>
      </c>
      <c r="H117" s="18" t="s">
        <v>153</v>
      </c>
      <c r="I117" s="68">
        <v>3000</v>
      </c>
      <c r="J117" s="68">
        <f t="shared" si="14"/>
        <v>3000</v>
      </c>
      <c r="N117" s="35"/>
    </row>
    <row r="118" spans="2:14">
      <c r="B118" s="65" t="s">
        <v>227</v>
      </c>
      <c r="C118" s="100"/>
      <c r="D118" s="32"/>
      <c r="E118" s="21"/>
      <c r="F118" s="8"/>
      <c r="G118" s="26"/>
      <c r="H118" s="18"/>
      <c r="I118" s="17"/>
      <c r="J118" s="17"/>
    </row>
    <row r="119" spans="2:14" s="63" customFormat="1" ht="20.100000000000001" customHeight="1">
      <c r="B119" s="76" t="s">
        <v>228</v>
      </c>
      <c r="C119" s="90">
        <v>16</v>
      </c>
      <c r="D119" s="91"/>
      <c r="E119" s="71"/>
      <c r="F119" s="102" t="s">
        <v>229</v>
      </c>
      <c r="G119" s="94">
        <v>1</v>
      </c>
      <c r="H119" s="76" t="s">
        <v>88</v>
      </c>
      <c r="I119" s="77">
        <f>IF(G119&gt;=1, J119/G119, 0)</f>
        <v>102109.2255499999</v>
      </c>
      <c r="J119" s="77">
        <f>SUM(J120:J150)</f>
        <v>102109.2255499999</v>
      </c>
      <c r="K119"/>
      <c r="L119"/>
      <c r="M119"/>
      <c r="N119"/>
    </row>
    <row r="120" spans="2:14">
      <c r="B120" s="66"/>
      <c r="C120" s="17">
        <v>16.010000000000002</v>
      </c>
      <c r="D120" s="32"/>
      <c r="E120" s="21"/>
      <c r="F120" s="8" t="s">
        <v>230</v>
      </c>
      <c r="G120" s="18">
        <f>11+9.5+7</f>
        <v>27.5</v>
      </c>
      <c r="H120" s="18" t="s">
        <v>75</v>
      </c>
      <c r="I120" s="68">
        <v>220</v>
      </c>
      <c r="J120" s="68">
        <f>I120*G120</f>
        <v>6050</v>
      </c>
    </row>
    <row r="121" spans="2:14">
      <c r="B121" s="66"/>
      <c r="C121" s="17">
        <f>C120+0.01</f>
        <v>16.020000000000003</v>
      </c>
      <c r="D121" s="32"/>
      <c r="E121" s="21"/>
      <c r="F121" s="8" t="s">
        <v>231</v>
      </c>
      <c r="G121" s="18">
        <v>1</v>
      </c>
      <c r="H121" s="18" t="s">
        <v>84</v>
      </c>
      <c r="I121" s="68">
        <v>1800</v>
      </c>
      <c r="J121" s="68">
        <f t="shared" ref="J121" si="16">I121*G121</f>
        <v>1800</v>
      </c>
    </row>
    <row r="122" spans="2:14">
      <c r="B122" s="66"/>
      <c r="C122" s="17">
        <f t="shared" ref="C122:C150" si="17">C121+0.01</f>
        <v>16.030000000000005</v>
      </c>
      <c r="D122" s="32"/>
      <c r="E122" s="21"/>
      <c r="F122" s="8" t="s">
        <v>232</v>
      </c>
      <c r="G122" s="18">
        <f>ESTIMATIONS!G114</f>
        <v>30</v>
      </c>
      <c r="H122" s="18" t="str">
        <f>ESTIMATIONS!H114</f>
        <v>m</v>
      </c>
      <c r="I122" s="68">
        <v>70</v>
      </c>
      <c r="J122" s="68">
        <f>I122*G122</f>
        <v>2100</v>
      </c>
    </row>
    <row r="123" spans="2:14">
      <c r="B123" s="66"/>
      <c r="C123" s="17">
        <f t="shared" si="17"/>
        <v>16.040000000000006</v>
      </c>
      <c r="D123" s="32"/>
      <c r="E123" s="21"/>
      <c r="F123" s="8" t="s">
        <v>233</v>
      </c>
      <c r="G123" s="18">
        <f>ESTIMATIONS!G115</f>
        <v>93</v>
      </c>
      <c r="H123" s="18" t="str">
        <f>ESTIMATIONS!H115</f>
        <v>m</v>
      </c>
      <c r="I123" s="68">
        <v>60</v>
      </c>
      <c r="J123" s="68">
        <f t="shared" ref="J123:J127" si="18">I123*G123</f>
        <v>5580</v>
      </c>
    </row>
    <row r="124" spans="2:14">
      <c r="B124" s="66"/>
      <c r="C124" s="17">
        <f t="shared" si="17"/>
        <v>16.050000000000008</v>
      </c>
      <c r="D124" s="32"/>
      <c r="E124" s="21"/>
      <c r="F124" s="8" t="s">
        <v>234</v>
      </c>
      <c r="G124" s="18">
        <f>ESTIMATIONS!G116</f>
        <v>49</v>
      </c>
      <c r="H124" s="18" t="str">
        <f>ESTIMATIONS!H116</f>
        <v>m</v>
      </c>
      <c r="I124" s="68">
        <v>55</v>
      </c>
      <c r="J124" s="68">
        <f t="shared" si="18"/>
        <v>2695</v>
      </c>
    </row>
    <row r="125" spans="2:14">
      <c r="B125" s="66"/>
      <c r="C125" s="17">
        <f t="shared" si="17"/>
        <v>16.060000000000009</v>
      </c>
      <c r="D125" s="32"/>
      <c r="E125" s="21"/>
      <c r="F125" s="8" t="s">
        <v>235</v>
      </c>
      <c r="G125" s="18">
        <f>ESTIMATIONS!G117</f>
        <v>41</v>
      </c>
      <c r="H125" s="18" t="str">
        <f>ESTIMATIONS!H117</f>
        <v>m</v>
      </c>
      <c r="I125" s="68">
        <v>45</v>
      </c>
      <c r="J125" s="68">
        <f t="shared" si="18"/>
        <v>1845</v>
      </c>
    </row>
    <row r="126" spans="2:14">
      <c r="B126" s="66"/>
      <c r="C126" s="17">
        <f t="shared" si="17"/>
        <v>16.070000000000011</v>
      </c>
      <c r="D126" s="32"/>
      <c r="E126" s="21"/>
      <c r="F126" s="8" t="s">
        <v>236</v>
      </c>
      <c r="G126" s="18">
        <f>ESTIMATIONS!G118</f>
        <v>24</v>
      </c>
      <c r="H126" s="18" t="str">
        <f>ESTIMATIONS!H118</f>
        <v>m</v>
      </c>
      <c r="I126" s="68">
        <v>65</v>
      </c>
      <c r="J126" s="68">
        <f t="shared" si="18"/>
        <v>1560</v>
      </c>
    </row>
    <row r="127" spans="2:14">
      <c r="B127" s="66"/>
      <c r="C127" s="17">
        <f t="shared" si="17"/>
        <v>16.080000000000013</v>
      </c>
      <c r="D127" s="32"/>
      <c r="E127" s="21"/>
      <c r="F127" s="8" t="s">
        <v>237</v>
      </c>
      <c r="G127" s="18">
        <f>ESTIMATIONS!G119</f>
        <v>80</v>
      </c>
      <c r="H127" s="18" t="str">
        <f>ESTIMATIONS!H119</f>
        <v>m</v>
      </c>
      <c r="I127" s="68">
        <v>50</v>
      </c>
      <c r="J127" s="68">
        <f t="shared" si="18"/>
        <v>4000</v>
      </c>
    </row>
    <row r="128" spans="2:14">
      <c r="B128" s="66"/>
      <c r="C128" s="17">
        <f t="shared" si="17"/>
        <v>16.090000000000014</v>
      </c>
      <c r="D128" s="32"/>
      <c r="E128" s="21"/>
      <c r="F128" s="8" t="str">
        <f>ESTIMATIONS!B120</f>
        <v>Hand washing sinks with high quality brass lever faucet, mirror and accessories</v>
      </c>
      <c r="G128" s="18">
        <f>ESTIMATIONS!G120</f>
        <v>7</v>
      </c>
      <c r="H128" s="18" t="str">
        <f>ESTIMATIONS!H120</f>
        <v>Set</v>
      </c>
      <c r="I128" s="68">
        <v>1400</v>
      </c>
      <c r="J128" s="68">
        <f t="shared" ref="J128:J129" si="19">I128*G128</f>
        <v>9800</v>
      </c>
    </row>
    <row r="129" spans="2:10">
      <c r="B129" s="66"/>
      <c r="C129" s="17">
        <f t="shared" si="17"/>
        <v>16.100000000000016</v>
      </c>
      <c r="D129" s="32"/>
      <c r="E129" s="21"/>
      <c r="F129" s="8" t="str">
        <f>ESTIMATIONS!B121</f>
        <v>High quality brass lever faucets</v>
      </c>
      <c r="G129" s="18">
        <v>12</v>
      </c>
      <c r="H129" s="18" t="str">
        <f>ESTIMATIONS!H121</f>
        <v>No</v>
      </c>
      <c r="I129" s="68">
        <v>150</v>
      </c>
      <c r="J129" s="68">
        <f t="shared" si="19"/>
        <v>1800</v>
      </c>
    </row>
    <row r="130" spans="2:10">
      <c r="B130" s="66"/>
      <c r="C130" s="17">
        <f t="shared" si="17"/>
        <v>16.110000000000017</v>
      </c>
      <c r="D130" s="32"/>
      <c r="E130" s="21"/>
      <c r="F130" s="8" t="str">
        <f>ESTIMATIONS!B122</f>
        <v>Electrical water boiler 80 litre, Arabic super Aquahot with all spares</v>
      </c>
      <c r="G130" s="18">
        <f>ESTIMATIONS!G122</f>
        <v>1</v>
      </c>
      <c r="H130" s="18" t="str">
        <f>ESTIMATIONS!H122</f>
        <v>No</v>
      </c>
      <c r="I130" s="68">
        <v>15000</v>
      </c>
      <c r="J130" s="68">
        <f t="shared" ref="J130" si="20">I130*G130</f>
        <v>15000</v>
      </c>
    </row>
    <row r="131" spans="2:10">
      <c r="B131" s="66"/>
      <c r="C131" s="17">
        <f t="shared" si="17"/>
        <v>16.120000000000019</v>
      </c>
      <c r="D131" s="32"/>
      <c r="E131" s="21"/>
      <c r="F131" s="8" t="s">
        <v>238</v>
      </c>
      <c r="G131" s="18">
        <v>15</v>
      </c>
      <c r="H131" s="18" t="s">
        <v>153</v>
      </c>
      <c r="I131" s="68">
        <v>20</v>
      </c>
      <c r="J131" s="68">
        <f t="shared" ref="J131:J150" si="21">I131*G131</f>
        <v>300</v>
      </c>
    </row>
    <row r="132" spans="2:10">
      <c r="B132" s="66"/>
      <c r="C132" s="17">
        <f t="shared" si="17"/>
        <v>16.13000000000002</v>
      </c>
      <c r="D132" s="32"/>
      <c r="E132" s="21"/>
      <c r="F132" s="8" t="s">
        <v>239</v>
      </c>
      <c r="G132" s="18">
        <v>18</v>
      </c>
      <c r="H132" s="18" t="s">
        <v>153</v>
      </c>
      <c r="I132" s="68">
        <v>10</v>
      </c>
      <c r="J132" s="68">
        <f t="shared" si="21"/>
        <v>180</v>
      </c>
    </row>
    <row r="133" spans="2:10">
      <c r="B133" s="66"/>
      <c r="C133" s="17">
        <f t="shared" si="17"/>
        <v>16.140000000000022</v>
      </c>
      <c r="D133" s="32"/>
      <c r="E133" s="21"/>
      <c r="F133" s="8" t="s">
        <v>240</v>
      </c>
      <c r="G133" s="18">
        <v>15</v>
      </c>
      <c r="H133" s="18" t="s">
        <v>153</v>
      </c>
      <c r="I133" s="68">
        <v>20</v>
      </c>
      <c r="J133" s="68">
        <f t="shared" si="21"/>
        <v>300</v>
      </c>
    </row>
    <row r="134" spans="2:10">
      <c r="B134" s="66"/>
      <c r="C134" s="17">
        <f t="shared" si="17"/>
        <v>16.150000000000023</v>
      </c>
      <c r="D134" s="32"/>
      <c r="E134" s="21"/>
      <c r="F134" s="8" t="s">
        <v>241</v>
      </c>
      <c r="G134" s="18">
        <v>12</v>
      </c>
      <c r="H134" s="18" t="s">
        <v>153</v>
      </c>
      <c r="I134" s="68">
        <v>10</v>
      </c>
      <c r="J134" s="68">
        <f t="shared" si="21"/>
        <v>120</v>
      </c>
    </row>
    <row r="135" spans="2:10">
      <c r="B135" s="66"/>
      <c r="C135" s="17">
        <f t="shared" si="17"/>
        <v>16.160000000000025</v>
      </c>
      <c r="D135" s="32"/>
      <c r="E135" s="21"/>
      <c r="F135" s="8" t="s">
        <v>242</v>
      </c>
      <c r="G135" s="18">
        <v>10</v>
      </c>
      <c r="H135" s="18" t="s">
        <v>153</v>
      </c>
      <c r="I135" s="68">
        <v>10</v>
      </c>
      <c r="J135" s="68">
        <f t="shared" si="21"/>
        <v>100</v>
      </c>
    </row>
    <row r="136" spans="2:10">
      <c r="B136" s="66"/>
      <c r="C136" s="17">
        <f t="shared" si="17"/>
        <v>16.170000000000027</v>
      </c>
      <c r="D136" s="32"/>
      <c r="E136" s="21"/>
      <c r="F136" s="8" t="s">
        <v>243</v>
      </c>
      <c r="G136" s="18">
        <v>1</v>
      </c>
      <c r="H136" s="18" t="s">
        <v>244</v>
      </c>
      <c r="I136" s="68">
        <v>80</v>
      </c>
      <c r="J136" s="68">
        <f t="shared" si="21"/>
        <v>80</v>
      </c>
    </row>
    <row r="137" spans="2:10">
      <c r="B137" s="66"/>
      <c r="C137" s="17">
        <f t="shared" si="17"/>
        <v>16.180000000000028</v>
      </c>
      <c r="D137" s="32"/>
      <c r="E137" s="21"/>
      <c r="F137" s="8" t="s">
        <v>243</v>
      </c>
      <c r="G137" s="18">
        <v>1</v>
      </c>
      <c r="H137" s="18" t="s">
        <v>244</v>
      </c>
      <c r="I137" s="68">
        <v>80</v>
      </c>
      <c r="J137" s="68">
        <f t="shared" ref="J137" si="22">I137*G137</f>
        <v>80</v>
      </c>
    </row>
    <row r="138" spans="2:10">
      <c r="B138" s="66"/>
      <c r="C138" s="17">
        <f t="shared" si="17"/>
        <v>16.19000000000003</v>
      </c>
      <c r="D138" s="32"/>
      <c r="E138" s="21"/>
      <c r="F138" s="8" t="s">
        <v>245</v>
      </c>
      <c r="G138" s="18">
        <v>23</v>
      </c>
      <c r="H138" s="18" t="s">
        <v>75</v>
      </c>
      <c r="I138" s="68">
        <v>200</v>
      </c>
      <c r="J138" s="68">
        <f t="shared" si="21"/>
        <v>4600</v>
      </c>
    </row>
    <row r="139" spans="2:10">
      <c r="B139" s="66"/>
      <c r="C139" s="17">
        <f t="shared" si="17"/>
        <v>16.200000000000031</v>
      </c>
      <c r="D139" s="32"/>
      <c r="E139" s="21"/>
      <c r="F139" s="8" t="s">
        <v>246</v>
      </c>
      <c r="G139" s="18">
        <v>25</v>
      </c>
      <c r="H139" s="18" t="s">
        <v>75</v>
      </c>
      <c r="I139" s="68">
        <v>180</v>
      </c>
      <c r="J139" s="68">
        <f t="shared" ref="J139" si="23">I139*G139</f>
        <v>4500</v>
      </c>
    </row>
    <row r="140" spans="2:10">
      <c r="B140" s="66"/>
      <c r="C140" s="17">
        <f t="shared" si="17"/>
        <v>16.210000000000033</v>
      </c>
      <c r="D140" s="32"/>
      <c r="E140" s="21"/>
      <c r="F140" s="8" t="s">
        <v>247</v>
      </c>
      <c r="G140" s="18">
        <v>6</v>
      </c>
      <c r="H140" s="18" t="s">
        <v>75</v>
      </c>
      <c r="I140" s="68">
        <v>110</v>
      </c>
      <c r="J140" s="68">
        <f t="shared" ref="J140" si="24">I140*G140</f>
        <v>660</v>
      </c>
    </row>
    <row r="141" spans="2:10">
      <c r="B141" s="66"/>
      <c r="C141" s="17">
        <f t="shared" si="17"/>
        <v>16.220000000000034</v>
      </c>
      <c r="D141" s="32"/>
      <c r="E141" s="21"/>
      <c r="F141" s="8" t="s">
        <v>248</v>
      </c>
      <c r="G141" s="18">
        <v>10</v>
      </c>
      <c r="H141" s="18" t="s">
        <v>244</v>
      </c>
      <c r="I141" s="68">
        <v>100</v>
      </c>
      <c r="J141" s="68">
        <f t="shared" ref="J141" si="25">I141*G141</f>
        <v>1000</v>
      </c>
    </row>
    <row r="142" spans="2:10">
      <c r="B142" s="66"/>
      <c r="C142" s="17">
        <f t="shared" si="17"/>
        <v>16.230000000000036</v>
      </c>
      <c r="D142" s="32"/>
      <c r="E142" s="21"/>
      <c r="F142" s="8" t="s">
        <v>249</v>
      </c>
      <c r="G142" s="18">
        <v>6</v>
      </c>
      <c r="H142" s="18" t="s">
        <v>244</v>
      </c>
      <c r="I142" s="68">
        <v>85</v>
      </c>
      <c r="J142" s="68">
        <f t="shared" ref="J142" si="26">I142*G142</f>
        <v>510</v>
      </c>
    </row>
    <row r="143" spans="2:10">
      <c r="B143" s="66"/>
      <c r="C143" s="17">
        <f t="shared" si="17"/>
        <v>16.240000000000038</v>
      </c>
      <c r="D143" s="32"/>
      <c r="E143" s="21"/>
      <c r="F143" s="8" t="s">
        <v>250</v>
      </c>
      <c r="G143" s="18">
        <v>1</v>
      </c>
      <c r="H143" s="18" t="s">
        <v>244</v>
      </c>
      <c r="I143" s="68">
        <v>100</v>
      </c>
      <c r="J143" s="68">
        <f t="shared" si="21"/>
        <v>100</v>
      </c>
    </row>
    <row r="144" spans="2:10">
      <c r="B144" s="66"/>
      <c r="C144" s="17">
        <f t="shared" si="17"/>
        <v>16.250000000000039</v>
      </c>
      <c r="D144" s="32"/>
      <c r="E144" s="21"/>
      <c r="F144" s="8" t="s">
        <v>251</v>
      </c>
      <c r="G144" s="18">
        <v>3</v>
      </c>
      <c r="H144" s="18" t="s">
        <v>244</v>
      </c>
      <c r="I144" s="68">
        <v>100</v>
      </c>
      <c r="J144" s="68">
        <f t="shared" si="21"/>
        <v>300</v>
      </c>
    </row>
    <row r="145" spans="2:14">
      <c r="B145" s="66"/>
      <c r="C145" s="17">
        <f t="shared" si="17"/>
        <v>16.260000000000041</v>
      </c>
      <c r="D145" s="32"/>
      <c r="E145" s="21"/>
      <c r="F145" s="8" t="s">
        <v>252</v>
      </c>
      <c r="G145" s="18">
        <v>12</v>
      </c>
      <c r="H145" s="18" t="s">
        <v>244</v>
      </c>
      <c r="I145" s="68">
        <v>40</v>
      </c>
      <c r="J145" s="68">
        <f t="shared" si="21"/>
        <v>480</v>
      </c>
    </row>
    <row r="146" spans="2:14">
      <c r="B146" s="66"/>
      <c r="C146" s="17">
        <f t="shared" si="17"/>
        <v>16.270000000000042</v>
      </c>
      <c r="D146" s="32"/>
      <c r="E146" s="21"/>
      <c r="F146" s="8" t="s">
        <v>253</v>
      </c>
      <c r="G146" s="18">
        <v>1</v>
      </c>
      <c r="H146" s="18" t="s">
        <v>244</v>
      </c>
      <c r="I146" s="68">
        <v>80</v>
      </c>
      <c r="J146" s="68">
        <f t="shared" si="21"/>
        <v>80</v>
      </c>
    </row>
    <row r="147" spans="2:14">
      <c r="B147" s="66"/>
      <c r="C147" s="17">
        <f t="shared" si="17"/>
        <v>16.280000000000044</v>
      </c>
      <c r="D147" s="32"/>
      <c r="E147" s="21"/>
      <c r="F147" s="8" t="s">
        <v>254</v>
      </c>
      <c r="G147" s="18">
        <v>6</v>
      </c>
      <c r="H147" s="18" t="s">
        <v>75</v>
      </c>
      <c r="I147" s="68">
        <v>125</v>
      </c>
      <c r="J147" s="68">
        <f t="shared" si="21"/>
        <v>750</v>
      </c>
    </row>
    <row r="148" spans="2:14">
      <c r="B148" s="66"/>
      <c r="C148" s="17">
        <f t="shared" si="17"/>
        <v>16.290000000000045</v>
      </c>
      <c r="D148" s="32"/>
      <c r="E148" s="21"/>
      <c r="F148" s="8" t="s">
        <v>255</v>
      </c>
      <c r="G148" s="18">
        <v>60</v>
      </c>
      <c r="H148" s="18" t="s">
        <v>11</v>
      </c>
      <c r="I148" s="68">
        <v>150</v>
      </c>
      <c r="J148" s="68">
        <f t="shared" si="21"/>
        <v>9000</v>
      </c>
    </row>
    <row r="149" spans="2:14">
      <c r="B149" s="66"/>
      <c r="C149" s="17">
        <f t="shared" si="17"/>
        <v>16.300000000000047</v>
      </c>
      <c r="D149" s="32"/>
      <c r="E149" s="21"/>
      <c r="F149" s="8" t="s">
        <v>256</v>
      </c>
      <c r="G149" s="18">
        <v>15</v>
      </c>
      <c r="H149" s="18" t="s">
        <v>11</v>
      </c>
      <c r="I149" s="68">
        <v>35</v>
      </c>
      <c r="J149" s="68">
        <f t="shared" si="21"/>
        <v>525</v>
      </c>
    </row>
    <row r="150" spans="2:14" ht="14.25" customHeight="1">
      <c r="B150" s="99"/>
      <c r="C150" s="17">
        <f t="shared" si="17"/>
        <v>16.310000000000048</v>
      </c>
      <c r="D150" s="103"/>
      <c r="E150" s="24"/>
      <c r="F150" s="8" t="s">
        <v>139</v>
      </c>
      <c r="G150" s="18">
        <v>1</v>
      </c>
      <c r="H150" s="18" t="s">
        <v>88</v>
      </c>
      <c r="I150" s="133">
        <v>26214.225549999901</v>
      </c>
      <c r="J150" s="68">
        <f t="shared" si="21"/>
        <v>26214.225549999901</v>
      </c>
    </row>
    <row r="151" spans="2:14">
      <c r="B151" s="104" t="s">
        <v>257</v>
      </c>
      <c r="C151" s="69"/>
      <c r="D151" s="103"/>
      <c r="E151" s="24"/>
      <c r="F151" s="8"/>
      <c r="G151" s="26"/>
      <c r="H151" s="18"/>
      <c r="I151" s="105"/>
      <c r="J151" s="106"/>
    </row>
    <row r="152" spans="2:14" ht="20.100000000000001" customHeight="1">
      <c r="B152" s="76" t="s">
        <v>258</v>
      </c>
      <c r="C152" s="90">
        <v>17</v>
      </c>
      <c r="D152" s="91"/>
      <c r="E152" s="76"/>
      <c r="F152" s="95" t="s">
        <v>259</v>
      </c>
      <c r="G152" s="94">
        <v>1</v>
      </c>
      <c r="H152" s="76" t="s">
        <v>88</v>
      </c>
      <c r="I152" s="78">
        <f>IF(G152&gt;=1, J152/G152, 0)</f>
        <v>0</v>
      </c>
      <c r="J152" s="78">
        <f>SUM(J153:J157)</f>
        <v>0</v>
      </c>
    </row>
    <row r="153" spans="2:14">
      <c r="B153" s="66"/>
      <c r="C153" s="100">
        <v>17.010000000000002</v>
      </c>
      <c r="D153" s="32"/>
      <c r="E153" s="21"/>
      <c r="F153" s="8" t="s">
        <v>260</v>
      </c>
      <c r="G153" s="18">
        <v>0</v>
      </c>
      <c r="H153" s="18" t="s">
        <v>75</v>
      </c>
      <c r="I153" s="68">
        <v>42</v>
      </c>
      <c r="J153" s="68">
        <f t="shared" ref="J153:J157" si="27">I153*G153</f>
        <v>0</v>
      </c>
    </row>
    <row r="154" spans="2:14">
      <c r="B154" s="67"/>
      <c r="C154" s="100">
        <v>17.02</v>
      </c>
      <c r="D154" s="32"/>
      <c r="E154" s="21"/>
      <c r="F154" s="8" t="s">
        <v>261</v>
      </c>
      <c r="G154" s="18">
        <v>0</v>
      </c>
      <c r="H154" s="18" t="s">
        <v>153</v>
      </c>
      <c r="I154" s="68">
        <v>42</v>
      </c>
      <c r="J154" s="68">
        <f t="shared" si="27"/>
        <v>0</v>
      </c>
    </row>
    <row r="155" spans="2:14">
      <c r="B155" s="67"/>
      <c r="C155" s="100">
        <v>17.03</v>
      </c>
      <c r="D155" s="32"/>
      <c r="E155" s="21"/>
      <c r="F155" s="8" t="s">
        <v>262</v>
      </c>
      <c r="G155" s="18">
        <v>0</v>
      </c>
      <c r="H155" s="18" t="s">
        <v>153</v>
      </c>
      <c r="I155" s="68">
        <v>42</v>
      </c>
      <c r="J155" s="68">
        <f t="shared" si="27"/>
        <v>0</v>
      </c>
    </row>
    <row r="156" spans="2:14" ht="15.75">
      <c r="B156" s="93"/>
      <c r="C156" s="100">
        <v>17.05</v>
      </c>
      <c r="D156" s="32"/>
      <c r="E156" s="21"/>
      <c r="F156" s="8" t="s">
        <v>263</v>
      </c>
      <c r="G156" s="18">
        <v>0</v>
      </c>
      <c r="H156" s="18" t="s">
        <v>153</v>
      </c>
      <c r="I156" s="68">
        <v>60</v>
      </c>
      <c r="J156" s="68">
        <f t="shared" si="27"/>
        <v>0</v>
      </c>
    </row>
    <row r="157" spans="2:14" ht="15.75">
      <c r="B157" s="93"/>
      <c r="C157" s="100">
        <v>17.059999999999999</v>
      </c>
      <c r="D157" s="32"/>
      <c r="E157" s="21"/>
      <c r="F157" s="8" t="s">
        <v>264</v>
      </c>
      <c r="G157" s="18">
        <v>0</v>
      </c>
      <c r="H157" s="18" t="s">
        <v>88</v>
      </c>
      <c r="I157" s="30">
        <v>2500</v>
      </c>
      <c r="J157" s="68">
        <f t="shared" si="27"/>
        <v>0</v>
      </c>
    </row>
    <row r="158" spans="2:14" ht="20.100000000000001" customHeight="1">
      <c r="B158" s="76" t="s">
        <v>265</v>
      </c>
      <c r="C158" s="90">
        <v>18</v>
      </c>
      <c r="D158" s="72"/>
      <c r="E158" s="83"/>
      <c r="F158" s="101" t="s">
        <v>266</v>
      </c>
      <c r="G158" s="94">
        <v>1</v>
      </c>
      <c r="H158" s="76" t="s">
        <v>88</v>
      </c>
      <c r="I158" s="78">
        <f>IF(G158&gt;=1, J158/G158, 0)</f>
        <v>0</v>
      </c>
      <c r="J158" s="78">
        <f>SUM(J159:J164)</f>
        <v>0</v>
      </c>
      <c r="N158" s="1"/>
    </row>
    <row r="159" spans="2:14">
      <c r="B159" s="67"/>
      <c r="C159" s="17">
        <v>18.010000000000002</v>
      </c>
      <c r="D159" s="34"/>
      <c r="E159" s="20"/>
      <c r="F159" s="8" t="s">
        <v>267</v>
      </c>
      <c r="G159" s="18">
        <v>0</v>
      </c>
      <c r="H159" s="17" t="s">
        <v>11</v>
      </c>
      <c r="I159" s="68">
        <v>250</v>
      </c>
      <c r="J159" s="68">
        <f t="shared" ref="J159:J164" si="28">I159*G159</f>
        <v>0</v>
      </c>
    </row>
    <row r="160" spans="2:14">
      <c r="B160" s="67"/>
      <c r="C160" s="17">
        <v>18.02</v>
      </c>
      <c r="D160" s="34"/>
      <c r="E160" s="20"/>
      <c r="F160" s="8" t="s">
        <v>268</v>
      </c>
      <c r="G160" s="18">
        <v>0</v>
      </c>
      <c r="H160" s="18" t="s">
        <v>84</v>
      </c>
      <c r="I160" s="68">
        <v>200</v>
      </c>
      <c r="J160" s="68">
        <f t="shared" si="28"/>
        <v>0</v>
      </c>
    </row>
    <row r="161" spans="2:10">
      <c r="B161" s="67"/>
      <c r="C161" s="17">
        <v>18.03</v>
      </c>
      <c r="D161" s="34"/>
      <c r="E161" s="20"/>
      <c r="F161" s="8" t="s">
        <v>269</v>
      </c>
      <c r="G161" s="18">
        <v>0</v>
      </c>
      <c r="H161" s="17" t="s">
        <v>75</v>
      </c>
      <c r="I161" s="68">
        <v>220</v>
      </c>
      <c r="J161" s="68">
        <f t="shared" si="28"/>
        <v>0</v>
      </c>
    </row>
    <row r="162" spans="2:10" ht="22.5">
      <c r="B162" s="67"/>
      <c r="C162" s="17">
        <v>18.04</v>
      </c>
      <c r="D162" s="34"/>
      <c r="E162" s="20"/>
      <c r="F162" s="8" t="s">
        <v>270</v>
      </c>
      <c r="G162" s="18">
        <v>0</v>
      </c>
      <c r="H162" s="17" t="s">
        <v>84</v>
      </c>
      <c r="I162" s="68">
        <v>2000</v>
      </c>
      <c r="J162" s="68">
        <f t="shared" si="28"/>
        <v>0</v>
      </c>
    </row>
    <row r="163" spans="2:10">
      <c r="B163" s="67"/>
      <c r="C163" s="17">
        <v>18.05</v>
      </c>
      <c r="D163" s="34"/>
      <c r="E163" s="20"/>
      <c r="F163" s="8" t="s">
        <v>271</v>
      </c>
      <c r="G163" s="18">
        <v>0</v>
      </c>
      <c r="H163" s="17" t="s">
        <v>75</v>
      </c>
      <c r="I163" s="68">
        <v>200</v>
      </c>
      <c r="J163" s="68">
        <f t="shared" si="28"/>
        <v>0</v>
      </c>
    </row>
    <row r="164" spans="2:10">
      <c r="B164" s="67"/>
      <c r="C164" s="17">
        <v>18.059999999999999</v>
      </c>
      <c r="D164" s="34"/>
      <c r="E164" s="20"/>
      <c r="F164" s="8" t="s">
        <v>206</v>
      </c>
      <c r="G164" s="18">
        <v>0</v>
      </c>
      <c r="H164" s="18" t="s">
        <v>88</v>
      </c>
      <c r="I164" s="68">
        <v>5000</v>
      </c>
      <c r="J164" s="68">
        <f t="shared" si="28"/>
        <v>0</v>
      </c>
    </row>
    <row r="165" spans="2:10" ht="20.100000000000001" customHeight="1">
      <c r="B165" s="76" t="s">
        <v>272</v>
      </c>
      <c r="C165" s="90">
        <v>19</v>
      </c>
      <c r="D165" s="91"/>
      <c r="E165" s="76"/>
      <c r="F165" s="95" t="s">
        <v>273</v>
      </c>
      <c r="G165" s="94">
        <v>1</v>
      </c>
      <c r="H165" s="76" t="s">
        <v>180</v>
      </c>
      <c r="I165" s="78">
        <f>IF(G165&gt;=1, J165/G165, 0)</f>
        <v>0</v>
      </c>
      <c r="J165" s="78">
        <f>SUM(J166:J171)</f>
        <v>0</v>
      </c>
    </row>
    <row r="166" spans="2:10">
      <c r="B166" s="67"/>
      <c r="C166" s="18">
        <v>19.010000000000002</v>
      </c>
      <c r="D166" s="33"/>
      <c r="E166" s="21"/>
      <c r="F166" s="8" t="s">
        <v>274</v>
      </c>
      <c r="G166" s="18">
        <v>0</v>
      </c>
      <c r="H166" s="18" t="s">
        <v>75</v>
      </c>
      <c r="I166" s="68">
        <v>200</v>
      </c>
      <c r="J166" s="68">
        <f>I166*G166</f>
        <v>0</v>
      </c>
    </row>
    <row r="167" spans="2:10">
      <c r="B167" s="67"/>
      <c r="C167" s="18">
        <v>19.02</v>
      </c>
      <c r="D167" s="33"/>
      <c r="E167" s="21"/>
      <c r="F167" s="8" t="s">
        <v>275</v>
      </c>
      <c r="G167" s="18">
        <v>0</v>
      </c>
      <c r="H167" s="18" t="s">
        <v>11</v>
      </c>
      <c r="I167" s="68">
        <v>80</v>
      </c>
      <c r="J167" s="68">
        <f>I167*G167</f>
        <v>0</v>
      </c>
    </row>
    <row r="168" spans="2:10">
      <c r="B168" s="67"/>
      <c r="C168" s="18">
        <v>19.03</v>
      </c>
      <c r="D168" s="33"/>
      <c r="E168" s="21"/>
      <c r="F168" s="8" t="s">
        <v>276</v>
      </c>
      <c r="G168" s="18">
        <v>0</v>
      </c>
      <c r="H168" s="18" t="s">
        <v>277</v>
      </c>
      <c r="I168" s="68">
        <v>10</v>
      </c>
      <c r="J168" s="68">
        <f t="shared" ref="J168:J169" si="29">I168*G168</f>
        <v>0</v>
      </c>
    </row>
    <row r="169" spans="2:10">
      <c r="B169" s="67"/>
      <c r="C169" s="18">
        <v>19.04</v>
      </c>
      <c r="D169" s="33"/>
      <c r="E169" s="21"/>
      <c r="F169" s="8" t="s">
        <v>278</v>
      </c>
      <c r="G169" s="18">
        <v>0</v>
      </c>
      <c r="H169" s="18" t="s">
        <v>146</v>
      </c>
      <c r="I169" s="68">
        <v>200</v>
      </c>
      <c r="J169" s="68">
        <f t="shared" si="29"/>
        <v>0</v>
      </c>
    </row>
    <row r="170" spans="2:10">
      <c r="B170" s="67"/>
      <c r="C170" s="18">
        <v>19.05</v>
      </c>
      <c r="D170" s="33"/>
      <c r="E170" s="21"/>
      <c r="F170" s="8" t="s">
        <v>279</v>
      </c>
      <c r="G170" s="18">
        <v>0</v>
      </c>
      <c r="H170" s="18" t="s">
        <v>11</v>
      </c>
      <c r="I170" s="68">
        <v>150</v>
      </c>
      <c r="J170" s="68">
        <f>I170*G170</f>
        <v>0</v>
      </c>
    </row>
    <row r="171" spans="2:10">
      <c r="B171" s="67"/>
      <c r="C171" s="18"/>
      <c r="D171" s="33"/>
      <c r="E171" s="21"/>
      <c r="F171" s="8" t="s">
        <v>280</v>
      </c>
      <c r="G171" s="18">
        <v>0</v>
      </c>
      <c r="H171" s="18" t="s">
        <v>88</v>
      </c>
      <c r="I171" s="68">
        <v>8000</v>
      </c>
      <c r="J171" s="68">
        <f>I171*G171</f>
        <v>0</v>
      </c>
    </row>
    <row r="172" spans="2:10" ht="20.100000000000001" customHeight="1">
      <c r="B172" s="76" t="s">
        <v>281</v>
      </c>
      <c r="C172" s="90">
        <v>20</v>
      </c>
      <c r="D172" s="91"/>
      <c r="E172" s="76"/>
      <c r="F172" s="95" t="s">
        <v>282</v>
      </c>
      <c r="G172" s="94">
        <v>1</v>
      </c>
      <c r="H172" s="76" t="s">
        <v>180</v>
      </c>
      <c r="I172" s="78">
        <f>IF(G172&gt;=1, J172/G172, 0)</f>
        <v>0</v>
      </c>
      <c r="J172" s="78">
        <f>J173</f>
        <v>0</v>
      </c>
    </row>
    <row r="173" spans="2:10">
      <c r="B173" s="65"/>
      <c r="C173" s="26">
        <v>20.010000000000002</v>
      </c>
      <c r="D173" s="32"/>
      <c r="E173" s="21"/>
      <c r="F173" s="8" t="s">
        <v>283</v>
      </c>
      <c r="G173" s="18">
        <v>0</v>
      </c>
      <c r="H173" s="18" t="s">
        <v>88</v>
      </c>
      <c r="I173" s="68">
        <v>5000</v>
      </c>
      <c r="J173" s="68">
        <f>I173*G173</f>
        <v>0</v>
      </c>
    </row>
    <row r="174" spans="2:10" ht="20.100000000000001" customHeight="1">
      <c r="B174" s="76" t="s">
        <v>284</v>
      </c>
      <c r="C174" s="90">
        <v>21</v>
      </c>
      <c r="D174" s="91"/>
      <c r="E174" s="76"/>
      <c r="F174" s="95" t="s">
        <v>285</v>
      </c>
      <c r="G174" s="94">
        <v>1</v>
      </c>
      <c r="H174" s="76" t="s">
        <v>88</v>
      </c>
      <c r="I174" s="78">
        <f>IF(G174&gt;=1, J174/G174, 0)</f>
        <v>0</v>
      </c>
      <c r="J174" s="78">
        <f>SUM(J175:J193)</f>
        <v>0</v>
      </c>
    </row>
    <row r="175" spans="2:10">
      <c r="B175" s="21"/>
      <c r="C175" s="69">
        <v>21.01</v>
      </c>
      <c r="D175" s="19"/>
      <c r="E175" s="21"/>
      <c r="F175" s="65" t="s">
        <v>286</v>
      </c>
      <c r="G175" s="26">
        <v>0</v>
      </c>
      <c r="H175" s="18" t="s">
        <v>84</v>
      </c>
      <c r="I175" s="30">
        <v>10500</v>
      </c>
      <c r="J175" s="68">
        <f>I175*G175</f>
        <v>0</v>
      </c>
    </row>
    <row r="176" spans="2:10">
      <c r="B176" s="21"/>
      <c r="C176" s="69">
        <f>C175+0.01</f>
        <v>21.020000000000003</v>
      </c>
      <c r="D176" s="19"/>
      <c r="E176" s="21"/>
      <c r="F176" s="65" t="s">
        <v>287</v>
      </c>
      <c r="G176" s="26">
        <v>0</v>
      </c>
      <c r="H176" s="18" t="s">
        <v>244</v>
      </c>
      <c r="I176" s="30">
        <v>26000</v>
      </c>
      <c r="J176" s="68">
        <f t="shared" ref="J176:J193" si="30">I176*G176</f>
        <v>0</v>
      </c>
    </row>
    <row r="177" spans="2:14">
      <c r="B177" s="21"/>
      <c r="C177" s="69">
        <f t="shared" ref="C177:C193" si="31">C176+0.01</f>
        <v>21.030000000000005</v>
      </c>
      <c r="D177" s="19"/>
      <c r="E177" s="21"/>
      <c r="F177" s="65" t="s">
        <v>288</v>
      </c>
      <c r="G177" s="26">
        <v>0</v>
      </c>
      <c r="H177" s="18" t="s">
        <v>244</v>
      </c>
      <c r="I177" s="30">
        <v>30000</v>
      </c>
      <c r="J177" s="68">
        <f t="shared" si="30"/>
        <v>0</v>
      </c>
    </row>
    <row r="178" spans="2:14">
      <c r="B178" s="21"/>
      <c r="C178" s="69">
        <f t="shared" si="31"/>
        <v>21.040000000000006</v>
      </c>
      <c r="D178" s="19"/>
      <c r="E178" s="21"/>
      <c r="F178" s="65" t="s">
        <v>289</v>
      </c>
      <c r="G178" s="26">
        <v>0</v>
      </c>
      <c r="H178" s="18" t="s">
        <v>214</v>
      </c>
      <c r="I178" s="30">
        <v>12000</v>
      </c>
      <c r="J178" s="68">
        <f t="shared" si="30"/>
        <v>0</v>
      </c>
    </row>
    <row r="179" spans="2:14">
      <c r="B179" s="21"/>
      <c r="C179" s="69">
        <f t="shared" si="31"/>
        <v>21.050000000000008</v>
      </c>
      <c r="D179" s="19"/>
      <c r="E179" s="21"/>
      <c r="F179" s="65" t="s">
        <v>290</v>
      </c>
      <c r="G179" s="26">
        <v>0</v>
      </c>
      <c r="H179" s="18" t="s">
        <v>75</v>
      </c>
      <c r="I179" s="30">
        <v>145</v>
      </c>
      <c r="J179" s="68">
        <f t="shared" si="30"/>
        <v>0</v>
      </c>
      <c r="N179" s="1"/>
    </row>
    <row r="180" spans="2:14">
      <c r="B180" s="21"/>
      <c r="C180" s="69">
        <f t="shared" si="31"/>
        <v>21.060000000000009</v>
      </c>
      <c r="D180" s="19"/>
      <c r="E180" s="21"/>
      <c r="F180" s="65" t="s">
        <v>291</v>
      </c>
      <c r="G180" s="26">
        <v>0</v>
      </c>
      <c r="H180" s="18" t="s">
        <v>75</v>
      </c>
      <c r="I180" s="30">
        <v>13</v>
      </c>
      <c r="J180" s="68">
        <f t="shared" si="30"/>
        <v>0</v>
      </c>
    </row>
    <row r="181" spans="2:14">
      <c r="B181" s="21"/>
      <c r="C181" s="69">
        <f t="shared" si="31"/>
        <v>21.070000000000011</v>
      </c>
      <c r="D181" s="19"/>
      <c r="E181" s="21"/>
      <c r="F181" s="65" t="s">
        <v>292</v>
      </c>
      <c r="G181" s="26">
        <v>0</v>
      </c>
      <c r="H181" s="18" t="s">
        <v>75</v>
      </c>
      <c r="I181" s="30">
        <v>20</v>
      </c>
      <c r="J181" s="68">
        <f t="shared" si="30"/>
        <v>0</v>
      </c>
    </row>
    <row r="182" spans="2:14">
      <c r="B182" s="21"/>
      <c r="C182" s="69">
        <f t="shared" si="31"/>
        <v>21.080000000000013</v>
      </c>
      <c r="D182" s="19"/>
      <c r="E182" s="21"/>
      <c r="F182" s="65" t="s">
        <v>293</v>
      </c>
      <c r="G182" s="26">
        <v>0</v>
      </c>
      <c r="H182" s="18" t="s">
        <v>244</v>
      </c>
      <c r="I182" s="30">
        <v>2000</v>
      </c>
      <c r="J182" s="68">
        <f t="shared" si="30"/>
        <v>0</v>
      </c>
    </row>
    <row r="183" spans="2:14">
      <c r="B183" s="21"/>
      <c r="C183" s="69">
        <f t="shared" si="31"/>
        <v>21.090000000000014</v>
      </c>
      <c r="D183" s="19"/>
      <c r="E183" s="21"/>
      <c r="F183" s="65" t="s">
        <v>294</v>
      </c>
      <c r="G183" s="26">
        <v>0</v>
      </c>
      <c r="H183" s="18" t="s">
        <v>244</v>
      </c>
      <c r="I183" s="30">
        <v>1000</v>
      </c>
      <c r="J183" s="68">
        <f t="shared" si="30"/>
        <v>0</v>
      </c>
    </row>
    <row r="184" spans="2:14">
      <c r="B184" s="21"/>
      <c r="C184" s="69">
        <f t="shared" si="31"/>
        <v>21.100000000000016</v>
      </c>
      <c r="D184" s="19"/>
      <c r="E184" s="21"/>
      <c r="F184" s="65" t="s">
        <v>295</v>
      </c>
      <c r="G184" s="26">
        <v>0</v>
      </c>
      <c r="H184" s="18" t="s">
        <v>296</v>
      </c>
      <c r="I184" s="30">
        <v>1500</v>
      </c>
      <c r="J184" s="68">
        <f t="shared" si="30"/>
        <v>0</v>
      </c>
    </row>
    <row r="185" spans="2:14">
      <c r="B185" s="21"/>
      <c r="C185" s="69">
        <f t="shared" si="31"/>
        <v>21.110000000000017</v>
      </c>
      <c r="D185" s="19"/>
      <c r="E185" s="21"/>
      <c r="F185" s="65" t="s">
        <v>297</v>
      </c>
      <c r="G185" s="26">
        <v>0</v>
      </c>
      <c r="H185" s="18" t="s">
        <v>296</v>
      </c>
      <c r="I185" s="30">
        <v>6000</v>
      </c>
      <c r="J185" s="68">
        <f t="shared" si="30"/>
        <v>0</v>
      </c>
    </row>
    <row r="186" spans="2:14">
      <c r="B186" s="21"/>
      <c r="C186" s="69">
        <f t="shared" si="31"/>
        <v>21.120000000000019</v>
      </c>
      <c r="D186" s="19"/>
      <c r="E186" s="21"/>
      <c r="F186" s="65" t="s">
        <v>298</v>
      </c>
      <c r="G186" s="26">
        <v>0</v>
      </c>
      <c r="H186" s="18" t="s">
        <v>214</v>
      </c>
      <c r="I186" s="30">
        <v>6000</v>
      </c>
      <c r="J186" s="68">
        <f t="shared" si="30"/>
        <v>0</v>
      </c>
    </row>
    <row r="187" spans="2:14">
      <c r="B187" s="21"/>
      <c r="C187" s="69">
        <f t="shared" si="31"/>
        <v>21.13000000000002</v>
      </c>
      <c r="D187" s="19"/>
      <c r="E187" s="21"/>
      <c r="F187" s="65" t="s">
        <v>299</v>
      </c>
      <c r="G187" s="26">
        <v>0</v>
      </c>
      <c r="H187" s="18" t="s">
        <v>75</v>
      </c>
      <c r="I187" s="30">
        <v>20</v>
      </c>
      <c r="J187" s="68">
        <f t="shared" si="30"/>
        <v>0</v>
      </c>
    </row>
    <row r="188" spans="2:14">
      <c r="B188" s="21"/>
      <c r="C188" s="69">
        <f t="shared" si="31"/>
        <v>21.140000000000022</v>
      </c>
      <c r="D188" s="19"/>
      <c r="E188" s="21"/>
      <c r="F188" s="65" t="s">
        <v>300</v>
      </c>
      <c r="G188" s="26">
        <v>0</v>
      </c>
      <c r="H188" s="18" t="s">
        <v>214</v>
      </c>
      <c r="I188" s="30">
        <v>1000</v>
      </c>
      <c r="J188" s="68">
        <f t="shared" si="30"/>
        <v>0</v>
      </c>
      <c r="K188" s="16"/>
      <c r="L188" s="16"/>
      <c r="M188" s="16"/>
    </row>
    <row r="189" spans="2:14">
      <c r="B189" s="21"/>
      <c r="C189" s="69">
        <f t="shared" si="31"/>
        <v>21.150000000000023</v>
      </c>
      <c r="D189" s="19"/>
      <c r="E189" s="21"/>
      <c r="F189" s="65" t="s">
        <v>301</v>
      </c>
      <c r="G189" s="26">
        <v>0</v>
      </c>
      <c r="H189" s="18" t="s">
        <v>214</v>
      </c>
      <c r="I189" s="30">
        <v>2000</v>
      </c>
      <c r="J189" s="68">
        <f t="shared" si="30"/>
        <v>0</v>
      </c>
    </row>
    <row r="190" spans="2:14">
      <c r="B190" s="21"/>
      <c r="C190" s="69">
        <f t="shared" si="31"/>
        <v>21.160000000000025</v>
      </c>
      <c r="D190" s="19"/>
      <c r="E190" s="21"/>
      <c r="F190" s="65" t="s">
        <v>302</v>
      </c>
      <c r="G190" s="26">
        <v>0</v>
      </c>
      <c r="H190" s="18" t="s">
        <v>75</v>
      </c>
      <c r="I190" s="30">
        <v>140</v>
      </c>
      <c r="J190" s="68">
        <f t="shared" si="30"/>
        <v>0</v>
      </c>
    </row>
    <row r="191" spans="2:14">
      <c r="B191" s="21"/>
      <c r="C191" s="69">
        <f t="shared" si="31"/>
        <v>21.170000000000027</v>
      </c>
      <c r="D191" s="19"/>
      <c r="E191" s="21"/>
      <c r="F191" s="65" t="s">
        <v>303</v>
      </c>
      <c r="G191" s="26">
        <v>0</v>
      </c>
      <c r="H191" s="18" t="s">
        <v>214</v>
      </c>
      <c r="I191" s="30">
        <v>1200</v>
      </c>
      <c r="J191" s="68">
        <f t="shared" si="30"/>
        <v>0</v>
      </c>
    </row>
    <row r="192" spans="2:14">
      <c r="B192" s="21"/>
      <c r="C192" s="69">
        <f t="shared" si="31"/>
        <v>21.180000000000028</v>
      </c>
      <c r="D192" s="19"/>
      <c r="E192" s="21"/>
      <c r="F192" s="65" t="s">
        <v>304</v>
      </c>
      <c r="G192" s="26">
        <v>0</v>
      </c>
      <c r="H192" s="18" t="s">
        <v>75</v>
      </c>
      <c r="I192" s="30">
        <v>45</v>
      </c>
      <c r="J192" s="68">
        <f t="shared" si="30"/>
        <v>0</v>
      </c>
    </row>
    <row r="193" spans="2:13">
      <c r="B193" s="21"/>
      <c r="C193" s="69">
        <f t="shared" si="31"/>
        <v>21.19000000000003</v>
      </c>
      <c r="D193" s="19"/>
      <c r="E193" s="21"/>
      <c r="F193" s="65" t="s">
        <v>305</v>
      </c>
      <c r="G193" s="26">
        <v>0</v>
      </c>
      <c r="H193" s="18" t="s">
        <v>88</v>
      </c>
      <c r="I193" s="30">
        <v>25000</v>
      </c>
      <c r="J193" s="68">
        <f t="shared" si="30"/>
        <v>0</v>
      </c>
    </row>
    <row r="194" spans="2:13">
      <c r="B194" s="107" t="s">
        <v>306</v>
      </c>
      <c r="C194" s="128"/>
      <c r="D194" s="108"/>
      <c r="E194" s="24"/>
      <c r="F194" s="21"/>
      <c r="G194" s="28"/>
      <c r="H194" s="21"/>
      <c r="I194" s="109"/>
      <c r="J194" s="24"/>
    </row>
    <row r="195" spans="2:13" ht="20.100000000000001" customHeight="1">
      <c r="B195" s="76" t="s">
        <v>307</v>
      </c>
      <c r="C195" s="90">
        <v>22</v>
      </c>
      <c r="D195" s="72"/>
      <c r="E195" s="83"/>
      <c r="F195" s="101" t="s">
        <v>308</v>
      </c>
      <c r="G195" s="94">
        <v>1</v>
      </c>
      <c r="H195" s="76" t="s">
        <v>88</v>
      </c>
      <c r="I195" s="78">
        <f>IF(G195&gt;=1, J195/G195, 0)</f>
        <v>75000</v>
      </c>
      <c r="J195" s="78">
        <f>SUM(J196:J197)</f>
        <v>75000</v>
      </c>
    </row>
    <row r="196" spans="2:13">
      <c r="B196" s="67"/>
      <c r="C196" s="17">
        <v>22.01</v>
      </c>
      <c r="D196" s="32"/>
      <c r="E196" s="19"/>
      <c r="F196" s="8" t="s">
        <v>309</v>
      </c>
      <c r="G196" s="18">
        <v>1</v>
      </c>
      <c r="H196" s="18" t="s">
        <v>88</v>
      </c>
      <c r="I196" s="68">
        <v>60000</v>
      </c>
      <c r="J196" s="68">
        <f>I196*G196</f>
        <v>60000</v>
      </c>
    </row>
    <row r="197" spans="2:13">
      <c r="B197" s="67"/>
      <c r="C197" s="17">
        <v>22.02</v>
      </c>
      <c r="D197" s="32"/>
      <c r="E197" s="19"/>
      <c r="F197" s="8" t="s">
        <v>310</v>
      </c>
      <c r="G197" s="18">
        <v>1</v>
      </c>
      <c r="H197" s="18" t="s">
        <v>88</v>
      </c>
      <c r="I197" s="68">
        <v>15000</v>
      </c>
      <c r="J197" s="68">
        <f>I197*G197</f>
        <v>15000</v>
      </c>
    </row>
    <row r="198" spans="2:13" s="16" customFormat="1" ht="20.100000000000001" customHeight="1">
      <c r="B198" s="76" t="s">
        <v>311</v>
      </c>
      <c r="C198" s="90">
        <v>23</v>
      </c>
      <c r="D198" s="72"/>
      <c r="E198" s="83"/>
      <c r="F198" s="101" t="s">
        <v>312</v>
      </c>
      <c r="G198" s="76">
        <v>1</v>
      </c>
      <c r="H198" s="76" t="s">
        <v>88</v>
      </c>
      <c r="I198" s="78">
        <f>IF(G198&gt;=1, J198/G198, 0)</f>
        <v>1400</v>
      </c>
      <c r="J198" s="78">
        <f>J199</f>
        <v>1400</v>
      </c>
      <c r="K198"/>
      <c r="L198"/>
      <c r="M198"/>
    </row>
    <row r="199" spans="2:13">
      <c r="B199" s="65"/>
      <c r="C199" s="26">
        <v>23.01</v>
      </c>
      <c r="D199" s="32"/>
      <c r="E199" s="21"/>
      <c r="F199" s="8" t="s">
        <v>313</v>
      </c>
      <c r="G199" s="26">
        <v>4</v>
      </c>
      <c r="H199" s="18" t="s">
        <v>126</v>
      </c>
      <c r="I199" s="68">
        <v>350</v>
      </c>
      <c r="J199" s="68">
        <f>I199*G199</f>
        <v>1400</v>
      </c>
    </row>
    <row r="200" spans="2:13" ht="15">
      <c r="B200" s="125"/>
      <c r="C200" s="112"/>
      <c r="D200" s="23"/>
      <c r="E200" s="110"/>
      <c r="F200" s="111"/>
      <c r="G200" s="112"/>
      <c r="H200" s="112"/>
      <c r="I200" s="112"/>
      <c r="J200" s="113"/>
    </row>
    <row r="201" spans="2:13" ht="18">
      <c r="B201" s="244" t="s">
        <v>314</v>
      </c>
      <c r="C201" s="244"/>
      <c r="D201" s="244"/>
      <c r="E201" s="244"/>
      <c r="F201" s="244"/>
      <c r="G201" s="244"/>
      <c r="H201" s="244"/>
      <c r="I201" s="244"/>
      <c r="J201" s="114">
        <f>J198+J195+J158+J119+J100+J95+J90+J82+J75+J72+J61+J46+J38+J30+J22+J19+J16+J13+J172+J152+J165+J69+J174</f>
        <v>852000.00000000012</v>
      </c>
      <c r="K201" s="207">
        <f>J201/F9</f>
        <v>12000.000000000002</v>
      </c>
    </row>
    <row r="202" spans="2:13" hidden="1">
      <c r="I202" s="15" t="s">
        <v>315</v>
      </c>
      <c r="J202" s="13">
        <f>J199+J171+J164+J157+J150+J98+J94+J92+J88+J87+J80+J79+J73+J67+J66+J59+J58+J44+J43+J36+J35+J28+J27+J20+J17+J14+J193+J173</f>
        <v>275089.60679999995</v>
      </c>
    </row>
    <row r="203" spans="2:13" hidden="1">
      <c r="I203" s="15" t="s">
        <v>316</v>
      </c>
      <c r="J203" s="13">
        <f>J201-J202</f>
        <v>576910.39320000017</v>
      </c>
    </row>
    <row r="204" spans="2:13" hidden="1">
      <c r="J204" s="13"/>
    </row>
    <row r="205" spans="2:13" hidden="1">
      <c r="J205" s="13">
        <f>12000-K201</f>
        <v>0</v>
      </c>
    </row>
    <row r="206" spans="2:13" ht="15" hidden="1">
      <c r="G206" s="14"/>
      <c r="I206" s="13"/>
      <c r="J206" s="13">
        <f>J205*71</f>
        <v>0</v>
      </c>
    </row>
    <row r="207" spans="2:13" hidden="1">
      <c r="F207" s="37"/>
      <c r="J207" s="13"/>
    </row>
    <row r="208" spans="2:13" ht="15.75">
      <c r="F208" s="38"/>
      <c r="G208" s="12"/>
      <c r="I208" s="11"/>
      <c r="J208" s="13"/>
    </row>
  </sheetData>
  <mergeCells count="17">
    <mergeCell ref="B1:E1"/>
    <mergeCell ref="B2:E2"/>
    <mergeCell ref="B3:E3"/>
    <mergeCell ref="B4:E4"/>
    <mergeCell ref="B5:E5"/>
    <mergeCell ref="B201:I201"/>
    <mergeCell ref="D11:D12"/>
    <mergeCell ref="F11:F12"/>
    <mergeCell ref="B11:B12"/>
    <mergeCell ref="C11:C12"/>
    <mergeCell ref="G11:G12"/>
    <mergeCell ref="H11:H12"/>
    <mergeCell ref="B6:E6"/>
    <mergeCell ref="B7:E7"/>
    <mergeCell ref="B8:E8"/>
    <mergeCell ref="B9:E9"/>
    <mergeCell ref="B10:E10"/>
  </mergeCells>
  <printOptions horizontalCentered="1"/>
  <pageMargins left="0.25" right="0.25" top="0.25" bottom="0.25" header="0.3" footer="0.3"/>
  <pageSetup paperSize="9" scale="94" fitToHeight="7" orientation="landscape" horizontalDpi="300" verticalDpi="300" r:id="rId1"/>
  <rowBreaks count="1" manualBreakCount="1">
    <brk id="60" min="1" max="9" man="1"/>
  </rowBreaks>
  <ignoredErrors>
    <ignoredError sqref="J72 J95 J158 J165 J172 J198 J174" 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B2014-9AB0-4743-9F32-4CAD34C4BD68}">
  <sheetPr>
    <pageSetUpPr fitToPage="1"/>
  </sheetPr>
  <dimension ref="A1:T98"/>
  <sheetViews>
    <sheetView topLeftCell="D77" zoomScaleNormal="100" zoomScaleSheetLayoutView="80" workbookViewId="0">
      <selection activeCell="H90" sqref="H90"/>
    </sheetView>
  </sheetViews>
  <sheetFormatPr defaultColWidth="9.28515625" defaultRowHeight="15"/>
  <cols>
    <col min="1" max="1" width="8.42578125" style="151" hidden="1" customWidth="1"/>
    <col min="2" max="2" width="5.28515625" style="147" customWidth="1"/>
    <col min="3" max="3" width="69.5703125" style="150" customWidth="1"/>
    <col min="4" max="4" width="9.7109375" style="147" bestFit="1" customWidth="1"/>
    <col min="5" max="5" width="13.28515625" style="147" bestFit="1" customWidth="1"/>
    <col min="6" max="6" width="16.28515625" style="147" bestFit="1" customWidth="1"/>
    <col min="7" max="7" width="12.85546875" style="149" bestFit="1" customWidth="1"/>
    <col min="8" max="8" width="21.42578125" style="148" bestFit="1" customWidth="1"/>
    <col min="9" max="9" width="11.7109375" style="147" bestFit="1" customWidth="1"/>
    <col min="10" max="10" width="16.28515625" style="147" bestFit="1" customWidth="1"/>
    <col min="11" max="11" width="23.28515625" style="147" customWidth="1"/>
    <col min="12" max="12" width="17.28515625" style="147" customWidth="1"/>
    <col min="13" max="13" width="15.7109375" style="147" customWidth="1"/>
    <col min="14" max="14" width="23.7109375" style="147" bestFit="1" customWidth="1"/>
    <col min="15" max="15" width="15.7109375" style="147" customWidth="1"/>
    <col min="16" max="16" width="10.42578125" style="147" customWidth="1"/>
    <col min="17" max="17" width="11" style="147" customWidth="1"/>
    <col min="18" max="16384" width="9.28515625" style="147"/>
  </cols>
  <sheetData>
    <row r="1" spans="1:20" ht="21" customHeight="1"/>
    <row r="2" spans="1:20" ht="15.75">
      <c r="B2" s="276" t="s">
        <v>317</v>
      </c>
      <c r="C2" s="277"/>
      <c r="D2" s="277"/>
      <c r="E2" s="277"/>
      <c r="F2" s="277"/>
      <c r="G2" s="278"/>
      <c r="H2" s="203" t="s">
        <v>318</v>
      </c>
      <c r="I2" s="153" t="s">
        <v>319</v>
      </c>
      <c r="J2" s="153" t="s">
        <v>320</v>
      </c>
    </row>
    <row r="3" spans="1:20" ht="15.75">
      <c r="B3" s="276" t="s">
        <v>321</v>
      </c>
      <c r="C3" s="277"/>
      <c r="D3" s="277"/>
      <c r="E3" s="277"/>
      <c r="F3" s="277"/>
      <c r="G3" s="278"/>
      <c r="H3" s="202" t="s">
        <v>322</v>
      </c>
      <c r="I3" s="155"/>
      <c r="J3" s="155"/>
    </row>
    <row r="4" spans="1:20" ht="12.75" customHeight="1">
      <c r="B4" s="157"/>
      <c r="C4" s="201"/>
      <c r="D4" s="157"/>
      <c r="E4" s="157"/>
      <c r="F4" s="157"/>
      <c r="H4" s="200"/>
      <c r="I4" s="151"/>
      <c r="T4"/>
    </row>
    <row r="5" spans="1:20" ht="15.75">
      <c r="B5" s="279" t="s">
        <v>323</v>
      </c>
      <c r="C5" s="279"/>
      <c r="D5" s="280" t="s">
        <v>324</v>
      </c>
      <c r="E5" s="280"/>
      <c r="F5" s="261" t="s">
        <v>325</v>
      </c>
      <c r="G5" s="262"/>
      <c r="H5" s="199" t="s">
        <v>326</v>
      </c>
      <c r="I5" s="42"/>
      <c r="J5" s="42"/>
      <c r="M5" s="156" t="s">
        <v>327</v>
      </c>
      <c r="N5" s="156"/>
      <c r="O5" s="198">
        <v>21</v>
      </c>
      <c r="P5" s="198">
        <v>8</v>
      </c>
      <c r="Q5" s="198">
        <v>2024</v>
      </c>
    </row>
    <row r="6" spans="1:20" ht="24.75" customHeight="1">
      <c r="B6" s="279"/>
      <c r="C6" s="279"/>
      <c r="D6" s="259"/>
      <c r="E6" s="260"/>
      <c r="F6" s="261"/>
      <c r="G6" s="262"/>
      <c r="H6" s="199"/>
      <c r="I6" s="42"/>
      <c r="J6" s="42"/>
      <c r="M6" s="255" t="s">
        <v>328</v>
      </c>
      <c r="N6" s="255"/>
      <c r="O6" s="198">
        <v>21</v>
      </c>
      <c r="P6" s="198">
        <v>8</v>
      </c>
      <c r="Q6" s="198">
        <v>2024</v>
      </c>
    </row>
    <row r="7" spans="1:20" ht="9" customHeight="1">
      <c r="B7" s="152"/>
      <c r="C7" s="197"/>
      <c r="D7" s="152"/>
      <c r="E7" s="193"/>
      <c r="F7" s="193"/>
      <c r="G7" s="196"/>
      <c r="H7" s="195"/>
      <c r="I7" s="194"/>
      <c r="M7" s="193"/>
      <c r="N7" s="193"/>
      <c r="O7" s="152"/>
      <c r="P7" s="152"/>
      <c r="Q7" s="152"/>
    </row>
    <row r="8" spans="1:20">
      <c r="B8" s="252" t="s">
        <v>329</v>
      </c>
      <c r="C8" s="252"/>
      <c r="D8" s="252"/>
      <c r="E8" s="252"/>
      <c r="F8" s="252"/>
      <c r="G8" s="252"/>
      <c r="H8" s="252"/>
      <c r="I8" s="252"/>
      <c r="J8" s="252"/>
      <c r="K8" s="252"/>
      <c r="L8" s="252"/>
      <c r="M8" s="252"/>
      <c r="N8" s="252"/>
      <c r="O8" s="252"/>
      <c r="P8" s="252"/>
      <c r="Q8" s="252"/>
    </row>
    <row r="10" spans="1:20" ht="15" customHeight="1">
      <c r="B10" s="281" t="s">
        <v>84</v>
      </c>
      <c r="C10" s="282" t="s">
        <v>330</v>
      </c>
      <c r="D10" s="267" t="s">
        <v>331</v>
      </c>
      <c r="E10" s="267" t="s">
        <v>332</v>
      </c>
      <c r="F10" s="267" t="s">
        <v>333</v>
      </c>
      <c r="G10" s="268" t="s">
        <v>334</v>
      </c>
      <c r="H10" s="269" t="s">
        <v>335</v>
      </c>
      <c r="I10" s="270" t="s">
        <v>336</v>
      </c>
      <c r="J10" s="271"/>
      <c r="K10" s="271"/>
      <c r="L10" s="271"/>
      <c r="M10" s="271"/>
      <c r="N10" s="271"/>
      <c r="O10" s="272"/>
      <c r="P10" s="267" t="s">
        <v>337</v>
      </c>
      <c r="Q10" s="267"/>
    </row>
    <row r="11" spans="1:20" ht="25.5" customHeight="1">
      <c r="B11" s="281"/>
      <c r="C11" s="282"/>
      <c r="D11" s="267"/>
      <c r="E11" s="267"/>
      <c r="F11" s="267"/>
      <c r="G11" s="268"/>
      <c r="H11" s="269"/>
      <c r="I11" s="273" t="s">
        <v>338</v>
      </c>
      <c r="J11" s="192" t="s">
        <v>339</v>
      </c>
      <c r="K11" s="192" t="s">
        <v>340</v>
      </c>
      <c r="L11" s="192" t="s">
        <v>341</v>
      </c>
      <c r="M11" s="192" t="s">
        <v>342</v>
      </c>
      <c r="N11" s="192" t="s">
        <v>343</v>
      </c>
      <c r="O11" s="192" t="s">
        <v>344</v>
      </c>
      <c r="P11" s="263" t="s">
        <v>345</v>
      </c>
      <c r="Q11" s="264"/>
    </row>
    <row r="12" spans="1:20" ht="25.5" customHeight="1">
      <c r="B12" s="281"/>
      <c r="C12" s="282"/>
      <c r="D12" s="267"/>
      <c r="E12" s="267"/>
      <c r="F12" s="267"/>
      <c r="G12" s="268"/>
      <c r="H12" s="269"/>
      <c r="I12" s="273"/>
      <c r="J12" s="192" t="s">
        <v>346</v>
      </c>
      <c r="K12" s="192" t="s">
        <v>347</v>
      </c>
      <c r="L12" s="192" t="s">
        <v>348</v>
      </c>
      <c r="M12" s="192" t="s">
        <v>349</v>
      </c>
      <c r="N12" s="192" t="s">
        <v>350</v>
      </c>
      <c r="O12" s="192" t="s">
        <v>351</v>
      </c>
      <c r="P12" s="265"/>
      <c r="Q12" s="266"/>
    </row>
    <row r="13" spans="1:20" ht="60">
      <c r="A13" s="185" t="s">
        <v>352</v>
      </c>
      <c r="B13" s="146">
        <v>1</v>
      </c>
      <c r="C13" s="176" t="s">
        <v>353</v>
      </c>
      <c r="D13" s="175" t="s">
        <v>126</v>
      </c>
      <c r="E13" s="191">
        <f>BOQ!M14</f>
        <v>385.88787500000007</v>
      </c>
      <c r="F13" s="175"/>
      <c r="G13" s="174">
        <f>[1]BOQ!H14</f>
        <v>350</v>
      </c>
      <c r="H13" s="173">
        <f>G13*E13</f>
        <v>135060.75625000003</v>
      </c>
      <c r="I13" s="153"/>
      <c r="J13" s="153"/>
      <c r="K13" s="153"/>
      <c r="L13" s="153"/>
      <c r="M13" s="153"/>
      <c r="N13" s="167"/>
      <c r="O13" s="153"/>
      <c r="P13" s="187"/>
      <c r="Q13" s="186"/>
    </row>
    <row r="14" spans="1:20" ht="45">
      <c r="A14" s="185" t="s">
        <v>352</v>
      </c>
      <c r="B14" s="146">
        <v>2</v>
      </c>
      <c r="C14" s="176" t="s">
        <v>354</v>
      </c>
      <c r="D14" s="175" t="s">
        <v>126</v>
      </c>
      <c r="E14" s="173">
        <f>BOQ!M18</f>
        <v>87.417625000000015</v>
      </c>
      <c r="F14" s="175"/>
      <c r="G14" s="174">
        <v>1000</v>
      </c>
      <c r="H14" s="173">
        <f t="shared" ref="H14:H77" si="0">G14*E14</f>
        <v>87417.625000000015</v>
      </c>
      <c r="I14" s="153"/>
      <c r="J14" s="153"/>
      <c r="K14" s="153"/>
      <c r="L14" s="153"/>
      <c r="M14" s="153"/>
      <c r="N14" s="167"/>
      <c r="O14" s="153"/>
      <c r="P14" s="187"/>
      <c r="Q14" s="186"/>
    </row>
    <row r="15" spans="1:20" ht="60">
      <c r="A15" s="185" t="s">
        <v>352</v>
      </c>
      <c r="B15" s="146">
        <v>3</v>
      </c>
      <c r="C15" s="176" t="s">
        <v>355</v>
      </c>
      <c r="D15" s="175" t="s">
        <v>88</v>
      </c>
      <c r="E15" s="190">
        <v>1</v>
      </c>
      <c r="F15" s="175"/>
      <c r="G15" s="189">
        <f>BOQ!N20</f>
        <v>26214.225549999901</v>
      </c>
      <c r="H15" s="173">
        <f t="shared" si="0"/>
        <v>26214.225549999901</v>
      </c>
      <c r="I15" s="188"/>
      <c r="J15" s="188"/>
      <c r="K15" s="153"/>
      <c r="L15" s="153"/>
      <c r="M15" s="153"/>
      <c r="N15" s="167"/>
      <c r="O15" s="153"/>
      <c r="P15" s="187"/>
      <c r="Q15" s="186"/>
    </row>
    <row r="16" spans="1:20" ht="30">
      <c r="A16" s="155">
        <f>BOQ!C23</f>
        <v>4.01</v>
      </c>
      <c r="B16" s="146">
        <v>4</v>
      </c>
      <c r="C16" s="176" t="s">
        <v>356</v>
      </c>
      <c r="D16" s="175" t="s">
        <v>14</v>
      </c>
      <c r="E16" s="173">
        <f>BOQ!G23</f>
        <v>0</v>
      </c>
      <c r="F16" s="175"/>
      <c r="G16" s="174">
        <f>[1]BOQ!H23</f>
        <v>500</v>
      </c>
      <c r="H16" s="173">
        <f t="shared" si="0"/>
        <v>0</v>
      </c>
      <c r="I16" s="153"/>
      <c r="J16" s="153"/>
      <c r="K16" s="153"/>
      <c r="L16" s="153"/>
      <c r="M16" s="153"/>
      <c r="N16" s="167"/>
      <c r="O16" s="153"/>
      <c r="P16" s="187"/>
      <c r="Q16" s="186"/>
    </row>
    <row r="17" spans="1:17" ht="15.75">
      <c r="A17" s="185" t="s">
        <v>352</v>
      </c>
      <c r="B17" s="146">
        <v>5</v>
      </c>
      <c r="C17" s="176" t="s">
        <v>357</v>
      </c>
      <c r="D17" s="175" t="s">
        <v>14</v>
      </c>
      <c r="E17" s="173">
        <f>BOQ!M15</f>
        <v>16.013579500000002</v>
      </c>
      <c r="F17" s="175"/>
      <c r="G17" s="174">
        <v>800</v>
      </c>
      <c r="H17" s="173">
        <f t="shared" si="0"/>
        <v>12810.863600000002</v>
      </c>
      <c r="I17" s="165"/>
      <c r="J17" s="155"/>
      <c r="K17" s="155"/>
      <c r="L17" s="172"/>
      <c r="M17" s="170"/>
      <c r="N17" s="171"/>
      <c r="O17" s="170"/>
      <c r="P17" s="169"/>
      <c r="Q17" s="168"/>
    </row>
    <row r="18" spans="1:17" ht="30">
      <c r="A18" s="185" t="s">
        <v>352</v>
      </c>
      <c r="B18" s="146">
        <v>6</v>
      </c>
      <c r="C18" s="176" t="s">
        <v>358</v>
      </c>
      <c r="D18" s="175" t="s">
        <v>14</v>
      </c>
      <c r="E18" s="173">
        <f>BOQ!M19</f>
        <v>23.002955000000004</v>
      </c>
      <c r="F18" s="175"/>
      <c r="G18" s="174">
        <v>800</v>
      </c>
      <c r="H18" s="173">
        <f t="shared" si="0"/>
        <v>18402.364000000001</v>
      </c>
      <c r="I18" s="165"/>
      <c r="J18" s="155"/>
      <c r="K18" s="155"/>
      <c r="L18" s="172"/>
      <c r="M18" s="170"/>
      <c r="N18" s="171"/>
      <c r="O18" s="170"/>
      <c r="P18" s="169"/>
      <c r="Q18" s="168"/>
    </row>
    <row r="19" spans="1:17" ht="15.75">
      <c r="A19" s="155">
        <f>BOQ!C31</f>
        <v>5.01</v>
      </c>
      <c r="B19" s="146">
        <v>7</v>
      </c>
      <c r="C19" s="176" t="s">
        <v>359</v>
      </c>
      <c r="D19" s="175" t="s">
        <v>172</v>
      </c>
      <c r="E19" s="173">
        <f>BOQ!G31</f>
        <v>5002.920000000001</v>
      </c>
      <c r="F19" s="175"/>
      <c r="G19" s="174">
        <v>3.5</v>
      </c>
      <c r="H19" s="173">
        <f t="shared" si="0"/>
        <v>17510.220000000005</v>
      </c>
      <c r="I19" s="165"/>
      <c r="J19" s="155"/>
      <c r="K19" s="155"/>
      <c r="L19" s="172"/>
      <c r="M19" s="170"/>
      <c r="N19" s="171"/>
      <c r="O19" s="170"/>
      <c r="P19" s="169"/>
      <c r="Q19" s="168"/>
    </row>
    <row r="20" spans="1:17" ht="15.75">
      <c r="A20" s="185" t="s">
        <v>352</v>
      </c>
      <c r="B20" s="146">
        <v>8</v>
      </c>
      <c r="C20" s="176" t="s">
        <v>360</v>
      </c>
      <c r="D20" s="175" t="s">
        <v>146</v>
      </c>
      <c r="E20" s="173">
        <f>BOQ!M16</f>
        <v>14338.557600000002</v>
      </c>
      <c r="F20" s="175"/>
      <c r="G20" s="174">
        <v>6</v>
      </c>
      <c r="H20" s="173">
        <f t="shared" si="0"/>
        <v>86031.345600000015</v>
      </c>
      <c r="I20" s="165"/>
      <c r="J20" s="155"/>
      <c r="K20" s="155"/>
      <c r="L20" s="172"/>
      <c r="M20" s="170"/>
      <c r="N20" s="171"/>
      <c r="O20" s="170"/>
      <c r="P20" s="169"/>
      <c r="Q20" s="168"/>
    </row>
    <row r="21" spans="1:17" ht="15.75">
      <c r="A21" s="185" t="s">
        <v>352</v>
      </c>
      <c r="B21" s="146">
        <v>9</v>
      </c>
      <c r="C21" s="176" t="s">
        <v>361</v>
      </c>
      <c r="D21" s="175" t="s">
        <v>362</v>
      </c>
      <c r="E21" s="173">
        <f>BOQ!M17</f>
        <v>5153.5348000000013</v>
      </c>
      <c r="F21" s="175"/>
      <c r="G21" s="174">
        <v>0</v>
      </c>
      <c r="H21" s="173">
        <f t="shared" si="0"/>
        <v>0</v>
      </c>
      <c r="I21" s="165"/>
      <c r="J21" s="155"/>
      <c r="K21" s="155"/>
      <c r="L21" s="172"/>
      <c r="M21" s="170"/>
      <c r="N21" s="171"/>
      <c r="O21" s="170"/>
      <c r="P21" s="169"/>
      <c r="Q21" s="168"/>
    </row>
    <row r="22" spans="1:17" ht="15.75">
      <c r="A22" s="185" t="s">
        <v>352</v>
      </c>
      <c r="B22" s="146">
        <v>10</v>
      </c>
      <c r="C22" s="176" t="s">
        <v>363</v>
      </c>
      <c r="D22" s="175" t="s">
        <v>11</v>
      </c>
      <c r="E22" s="173">
        <f>ESTIMATIONS!G101</f>
        <v>18.900000000000002</v>
      </c>
      <c r="F22" s="175"/>
      <c r="G22" s="174">
        <v>240</v>
      </c>
      <c r="H22" s="173">
        <f t="shared" si="0"/>
        <v>4536.0000000000009</v>
      </c>
      <c r="I22" s="165"/>
      <c r="J22" s="155"/>
      <c r="K22" s="155"/>
      <c r="L22" s="172"/>
      <c r="M22" s="170"/>
      <c r="N22" s="171"/>
      <c r="O22" s="170"/>
      <c r="P22" s="169"/>
      <c r="Q22" s="168"/>
    </row>
    <row r="23" spans="1:17" ht="15.75">
      <c r="A23" s="185" t="s">
        <v>352</v>
      </c>
      <c r="B23" s="146">
        <v>11</v>
      </c>
      <c r="C23" s="176" t="s">
        <v>364</v>
      </c>
      <c r="D23" s="175" t="s">
        <v>11</v>
      </c>
      <c r="E23" s="173">
        <f>ESTIMATIONS!G102</f>
        <v>9</v>
      </c>
      <c r="F23" s="175"/>
      <c r="G23" s="174">
        <v>240</v>
      </c>
      <c r="H23" s="173">
        <f t="shared" si="0"/>
        <v>2160</v>
      </c>
      <c r="I23" s="165"/>
      <c r="J23" s="155"/>
      <c r="K23" s="155"/>
      <c r="L23" s="172"/>
      <c r="M23" s="170"/>
      <c r="N23" s="171"/>
      <c r="O23" s="170"/>
      <c r="P23" s="169"/>
      <c r="Q23" s="168"/>
    </row>
    <row r="24" spans="1:17" ht="15.75">
      <c r="A24" s="185" t="s">
        <v>352</v>
      </c>
      <c r="B24" s="146">
        <v>12</v>
      </c>
      <c r="C24" s="176" t="s">
        <v>365</v>
      </c>
      <c r="D24" s="175" t="s">
        <v>11</v>
      </c>
      <c r="E24" s="173">
        <v>0</v>
      </c>
      <c r="F24" s="175"/>
      <c r="G24" s="174">
        <v>240</v>
      </c>
      <c r="H24" s="173">
        <f t="shared" si="0"/>
        <v>0</v>
      </c>
      <c r="I24" s="165"/>
      <c r="J24" s="155"/>
      <c r="K24" s="155"/>
      <c r="L24" s="172"/>
      <c r="M24" s="170"/>
      <c r="N24" s="171"/>
      <c r="O24" s="170"/>
      <c r="P24" s="169"/>
      <c r="Q24" s="168"/>
    </row>
    <row r="25" spans="1:17" ht="30">
      <c r="A25" s="185"/>
      <c r="B25" s="146">
        <v>13</v>
      </c>
      <c r="C25" s="176" t="s">
        <v>366</v>
      </c>
      <c r="D25" s="175" t="s">
        <v>11</v>
      </c>
      <c r="E25" s="173">
        <f>ESTIMATIONS!G50</f>
        <v>0</v>
      </c>
      <c r="F25" s="175"/>
      <c r="G25" s="174">
        <v>240</v>
      </c>
      <c r="H25" s="173">
        <f t="shared" si="0"/>
        <v>0</v>
      </c>
      <c r="I25" s="165"/>
      <c r="J25" s="155"/>
      <c r="K25" s="155"/>
      <c r="L25" s="172"/>
      <c r="M25" s="170"/>
      <c r="N25" s="171"/>
      <c r="O25" s="170"/>
      <c r="P25" s="169"/>
      <c r="Q25" s="168"/>
    </row>
    <row r="26" spans="1:17" ht="30">
      <c r="A26" s="185" t="s">
        <v>352</v>
      </c>
      <c r="B26" s="146">
        <v>14</v>
      </c>
      <c r="C26" s="176" t="s">
        <v>367</v>
      </c>
      <c r="D26" s="175" t="s">
        <v>146</v>
      </c>
      <c r="E26" s="173">
        <f>BOQ!G47+BOQ!G48+BOQ!G49+BOQ!G50</f>
        <v>2350</v>
      </c>
      <c r="F26" s="175"/>
      <c r="G26" s="174">
        <f>BOQ!I47</f>
        <v>55</v>
      </c>
      <c r="H26" s="173">
        <f t="shared" si="0"/>
        <v>129250</v>
      </c>
      <c r="I26" s="165"/>
      <c r="J26" s="155"/>
      <c r="K26" s="155"/>
      <c r="L26" s="172"/>
      <c r="M26" s="170"/>
      <c r="N26" s="171"/>
      <c r="O26" s="170"/>
      <c r="P26" s="169"/>
      <c r="Q26" s="168"/>
    </row>
    <row r="27" spans="1:17" ht="15.75">
      <c r="A27" s="155">
        <f>BOQ!C51</f>
        <v>7.0499999999999989</v>
      </c>
      <c r="B27" s="146">
        <v>15</v>
      </c>
      <c r="C27" s="176" t="str">
        <f>BOQ!F51</f>
        <v>Wire 1 mm</v>
      </c>
      <c r="D27" s="175" t="str">
        <f>BOQ!H51</f>
        <v>kg</v>
      </c>
      <c r="E27" s="173">
        <f>BOQ!G51</f>
        <v>17</v>
      </c>
      <c r="F27" s="175"/>
      <c r="G27" s="174">
        <f>BOQ!I51</f>
        <v>60</v>
      </c>
      <c r="H27" s="173">
        <f t="shared" si="0"/>
        <v>1020</v>
      </c>
      <c r="I27" s="165"/>
      <c r="J27" s="155"/>
      <c r="K27" s="155"/>
      <c r="L27" s="172"/>
      <c r="M27" s="170"/>
      <c r="N27" s="171"/>
      <c r="O27" s="170"/>
      <c r="P27" s="169"/>
      <c r="Q27" s="168"/>
    </row>
    <row r="28" spans="1:17" ht="15.75">
      <c r="A28" s="155">
        <f>BOQ!C52</f>
        <v>7.0599999999999987</v>
      </c>
      <c r="B28" s="146">
        <v>16</v>
      </c>
      <c r="C28" s="176" t="str">
        <f>BOQ!F52</f>
        <v>Steel gate for valvebox door</v>
      </c>
      <c r="D28" s="175" t="str">
        <f>BOQ!H52</f>
        <v>kg</v>
      </c>
      <c r="E28" s="173">
        <f>BOQ!G52</f>
        <v>20</v>
      </c>
      <c r="F28" s="175"/>
      <c r="G28" s="174">
        <f>BOQ!I52</f>
        <v>90</v>
      </c>
      <c r="H28" s="173">
        <f t="shared" si="0"/>
        <v>1800</v>
      </c>
      <c r="I28" s="165"/>
      <c r="J28" s="155"/>
      <c r="K28" s="155"/>
      <c r="L28" s="172"/>
      <c r="M28" s="170"/>
      <c r="N28" s="171"/>
      <c r="O28" s="170"/>
      <c r="P28" s="169"/>
      <c r="Q28" s="168"/>
    </row>
    <row r="29" spans="1:17" ht="15.75">
      <c r="A29" s="155">
        <f>BOQ!C53</f>
        <v>7.0699999999999985</v>
      </c>
      <c r="B29" s="146">
        <v>17</v>
      </c>
      <c r="C29" s="176" t="str">
        <f>BOQ!F53</f>
        <v>GI pipe diameter 1" for vertical part of stair</v>
      </c>
      <c r="D29" s="175" t="str">
        <f>BOQ!H53</f>
        <v>kg</v>
      </c>
      <c r="E29" s="173">
        <f>BOQ!G53</f>
        <v>48.6</v>
      </c>
      <c r="F29" s="175"/>
      <c r="G29" s="174">
        <f>BOQ!I53</f>
        <v>180</v>
      </c>
      <c r="H29" s="173">
        <f t="shared" si="0"/>
        <v>8748</v>
      </c>
      <c r="I29" s="165"/>
      <c r="J29" s="155"/>
      <c r="K29" s="155"/>
      <c r="L29" s="172"/>
      <c r="M29" s="170"/>
      <c r="N29" s="171"/>
      <c r="O29" s="170"/>
      <c r="P29" s="169"/>
      <c r="Q29" s="168"/>
    </row>
    <row r="30" spans="1:17" ht="15.75">
      <c r="A30" s="155">
        <f>BOQ!C54</f>
        <v>7.0799999999999983</v>
      </c>
      <c r="B30" s="146">
        <v>18</v>
      </c>
      <c r="C30" s="176" t="str">
        <f>BOQ!F54</f>
        <v>GI pipe diameter 0.75" for hand rail</v>
      </c>
      <c r="D30" s="175" t="str">
        <f>BOQ!H54</f>
        <v>kg</v>
      </c>
      <c r="E30" s="173">
        <f>BOQ!G54</f>
        <v>35.699999999999996</v>
      </c>
      <c r="F30" s="175"/>
      <c r="G30" s="174">
        <f>BOQ!I54</f>
        <v>150</v>
      </c>
      <c r="H30" s="173">
        <f t="shared" si="0"/>
        <v>5354.9999999999991</v>
      </c>
      <c r="I30" s="165"/>
      <c r="J30" s="155"/>
      <c r="K30" s="155"/>
      <c r="L30" s="172"/>
      <c r="M30" s="170"/>
      <c r="N30" s="171"/>
      <c r="O30" s="170"/>
      <c r="P30" s="169"/>
      <c r="Q30" s="168"/>
    </row>
    <row r="31" spans="1:17" ht="15.75">
      <c r="A31" s="155">
        <f>BOQ!C55</f>
        <v>7.0899999999999981</v>
      </c>
      <c r="B31" s="146">
        <v>19</v>
      </c>
      <c r="C31" s="176" t="str">
        <f>BOQ!F55</f>
        <v>Iron porfile 4X4 cm</v>
      </c>
      <c r="D31" s="175" t="str">
        <f>BOQ!H55</f>
        <v>m</v>
      </c>
      <c r="E31" s="173">
        <f>BOQ!G55</f>
        <v>24</v>
      </c>
      <c r="F31" s="175"/>
      <c r="G31" s="174">
        <f>BOQ!I55</f>
        <v>150</v>
      </c>
      <c r="H31" s="173">
        <f t="shared" si="0"/>
        <v>3600</v>
      </c>
      <c r="I31" s="165"/>
      <c r="J31" s="155"/>
      <c r="K31" s="155"/>
      <c r="L31" s="172"/>
      <c r="M31" s="170"/>
      <c r="N31" s="171"/>
      <c r="O31" s="170"/>
      <c r="P31" s="169"/>
      <c r="Q31" s="168"/>
    </row>
    <row r="32" spans="1:17" ht="15.75">
      <c r="A32" s="181">
        <f>BOQ!C56</f>
        <v>7.0999999999999979</v>
      </c>
      <c r="B32" s="146">
        <v>20</v>
      </c>
      <c r="C32" s="176" t="str">
        <f>BOQ!F56</f>
        <v>Iron porfile 3X3 cm</v>
      </c>
      <c r="D32" s="175" t="str">
        <f>BOQ!H56</f>
        <v>m</v>
      </c>
      <c r="E32" s="173">
        <f>BOQ!G56</f>
        <v>35.1</v>
      </c>
      <c r="F32" s="175"/>
      <c r="G32" s="174">
        <f>BOQ!I56</f>
        <v>100</v>
      </c>
      <c r="H32" s="173">
        <f t="shared" si="0"/>
        <v>3510</v>
      </c>
      <c r="I32" s="165"/>
      <c r="J32" s="155"/>
      <c r="K32" s="155"/>
      <c r="L32" s="172"/>
      <c r="M32" s="170"/>
      <c r="N32" s="171"/>
      <c r="O32" s="170"/>
      <c r="P32" s="169"/>
      <c r="Q32" s="168"/>
    </row>
    <row r="33" spans="1:17" ht="15.75">
      <c r="A33" s="155">
        <f>BOQ!C57</f>
        <v>7.1099999999999977</v>
      </c>
      <c r="B33" s="146">
        <v>21</v>
      </c>
      <c r="C33" s="176" t="str">
        <f>BOQ!F57</f>
        <v>Water stopper for reservoir</v>
      </c>
      <c r="D33" s="175" t="str">
        <f>BOQ!H57</f>
        <v>no</v>
      </c>
      <c r="E33" s="173">
        <f>BOQ!G57</f>
        <v>12</v>
      </c>
      <c r="F33" s="175"/>
      <c r="G33" s="174">
        <f>BOQ!I57</f>
        <v>100</v>
      </c>
      <c r="H33" s="173">
        <f t="shared" si="0"/>
        <v>1200</v>
      </c>
      <c r="I33" s="165"/>
      <c r="J33" s="155"/>
      <c r="K33" s="155"/>
      <c r="L33" s="172"/>
      <c r="M33" s="170"/>
      <c r="N33" s="171"/>
      <c r="O33" s="170"/>
      <c r="P33" s="169"/>
      <c r="Q33" s="168"/>
    </row>
    <row r="34" spans="1:17" ht="30">
      <c r="A34" s="155">
        <f>BOQ!C70</f>
        <v>9.01</v>
      </c>
      <c r="B34" s="146">
        <v>22</v>
      </c>
      <c r="C34" s="176" t="s">
        <v>368</v>
      </c>
      <c r="D34" s="183" t="s">
        <v>84</v>
      </c>
      <c r="E34" s="184">
        <f>BOQ!G70</f>
        <v>0</v>
      </c>
      <c r="F34" s="183"/>
      <c r="G34" s="182">
        <v>350</v>
      </c>
      <c r="H34" s="173">
        <f t="shared" si="0"/>
        <v>0</v>
      </c>
      <c r="I34" s="165"/>
      <c r="J34" s="155"/>
      <c r="K34" s="155"/>
      <c r="L34" s="172"/>
      <c r="M34" s="170"/>
      <c r="N34" s="171"/>
      <c r="O34" s="170"/>
      <c r="P34" s="169"/>
      <c r="Q34" s="168"/>
    </row>
    <row r="35" spans="1:17" ht="30">
      <c r="A35" s="155">
        <f>BOQ!C71</f>
        <v>9.02</v>
      </c>
      <c r="B35" s="146">
        <v>23</v>
      </c>
      <c r="C35" s="176" t="s">
        <v>369</v>
      </c>
      <c r="D35" s="183" t="s">
        <v>84</v>
      </c>
      <c r="E35" s="184">
        <f>BOQ!G71</f>
        <v>0</v>
      </c>
      <c r="F35" s="183"/>
      <c r="G35" s="182">
        <v>1000</v>
      </c>
      <c r="H35" s="173">
        <f t="shared" si="0"/>
        <v>0</v>
      </c>
      <c r="I35" s="165"/>
      <c r="J35" s="155"/>
      <c r="K35" s="155"/>
      <c r="L35" s="172"/>
      <c r="M35" s="170"/>
      <c r="N35" s="171"/>
      <c r="O35" s="170"/>
      <c r="P35" s="169"/>
      <c r="Q35" s="168"/>
    </row>
    <row r="36" spans="1:17" ht="15.75">
      <c r="A36" s="155">
        <f>BOQ!C73</f>
        <v>10.01</v>
      </c>
      <c r="B36" s="146">
        <v>24</v>
      </c>
      <c r="C36" s="176" t="s">
        <v>370</v>
      </c>
      <c r="D36" s="183" t="s">
        <v>11</v>
      </c>
      <c r="E36" s="184">
        <f>BOQ!G73</f>
        <v>136.82</v>
      </c>
      <c r="F36" s="183"/>
      <c r="G36" s="182">
        <f>BOQ!I73</f>
        <v>250</v>
      </c>
      <c r="H36" s="173">
        <f>G36*E36</f>
        <v>34205</v>
      </c>
      <c r="I36" s="165"/>
      <c r="J36" s="155"/>
      <c r="K36" s="155"/>
      <c r="L36" s="172"/>
      <c r="M36" s="170"/>
      <c r="N36" s="171"/>
      <c r="O36" s="170"/>
      <c r="P36" s="169"/>
      <c r="Q36" s="168"/>
    </row>
    <row r="37" spans="1:17" ht="30">
      <c r="A37" s="155">
        <f>BOQ!C91</f>
        <v>13.01</v>
      </c>
      <c r="B37" s="146">
        <v>25</v>
      </c>
      <c r="C37" s="176" t="str">
        <f>BOQ!F91</f>
        <v>Plastic color for exterior of RCC reservoir, WC1 internal walls and hand wash stations</v>
      </c>
      <c r="D37" s="175" t="str">
        <f>BOQ!H91</f>
        <v>m2</v>
      </c>
      <c r="E37" s="173">
        <f>BOQ!G91</f>
        <v>158.07999999999998</v>
      </c>
      <c r="F37" s="175"/>
      <c r="G37" s="174">
        <f>BOQ!I91</f>
        <v>170</v>
      </c>
      <c r="H37" s="173">
        <f>G37*E37</f>
        <v>26873.599999999999</v>
      </c>
      <c r="I37" s="165"/>
      <c r="J37" s="155"/>
      <c r="K37" s="155"/>
      <c r="L37" s="172"/>
      <c r="M37" s="170"/>
      <c r="N37" s="171"/>
      <c r="O37" s="170"/>
      <c r="P37" s="169"/>
      <c r="Q37" s="168"/>
    </row>
    <row r="38" spans="1:17" ht="15.75">
      <c r="A38" s="155">
        <f>BOQ!C92</f>
        <v>13.02</v>
      </c>
      <c r="B38" s="146">
        <v>26</v>
      </c>
      <c r="C38" s="176" t="str">
        <f>BOQ!F92</f>
        <v>Oil painting two layer for guard rail and gate doors</v>
      </c>
      <c r="D38" s="175" t="str">
        <f>BOQ!H92</f>
        <v>m2</v>
      </c>
      <c r="E38" s="173">
        <f>BOQ!G92</f>
        <v>16</v>
      </c>
      <c r="F38" s="175"/>
      <c r="G38" s="174">
        <f>BOQ!I92</f>
        <v>500</v>
      </c>
      <c r="H38" s="173">
        <f t="shared" si="0"/>
        <v>8000</v>
      </c>
      <c r="I38" s="165"/>
      <c r="J38" s="155"/>
      <c r="K38" s="155"/>
      <c r="L38" s="172"/>
      <c r="M38" s="170"/>
      <c r="N38" s="171"/>
      <c r="O38" s="170"/>
      <c r="P38" s="169"/>
      <c r="Q38" s="168"/>
    </row>
    <row r="39" spans="1:17" ht="30">
      <c r="A39" s="181">
        <f>BOQ!C96</f>
        <v>14.01</v>
      </c>
      <c r="B39" s="146">
        <v>27</v>
      </c>
      <c r="C39" s="176" t="s">
        <v>371</v>
      </c>
      <c r="D39" s="175" t="s">
        <v>11</v>
      </c>
      <c r="E39" s="173">
        <f>BOQ!G96</f>
        <v>0</v>
      </c>
      <c r="F39" s="175"/>
      <c r="G39" s="174">
        <v>3150</v>
      </c>
      <c r="H39" s="173">
        <f t="shared" si="0"/>
        <v>0</v>
      </c>
      <c r="I39" s="165"/>
      <c r="J39" s="155"/>
      <c r="K39" s="155"/>
      <c r="L39" s="172"/>
      <c r="M39" s="170"/>
      <c r="N39" s="171"/>
      <c r="O39" s="170"/>
      <c r="P39" s="169"/>
      <c r="Q39" s="168"/>
    </row>
    <row r="40" spans="1:17" ht="30">
      <c r="A40" s="181">
        <f>BOQ!C97</f>
        <v>14.02</v>
      </c>
      <c r="B40" s="146">
        <v>28</v>
      </c>
      <c r="C40" s="176" t="s">
        <v>372</v>
      </c>
      <c r="D40" s="175" t="s">
        <v>11</v>
      </c>
      <c r="E40" s="173">
        <f>BOQ!G97</f>
        <v>0</v>
      </c>
      <c r="F40" s="175"/>
      <c r="G40" s="174">
        <v>2350</v>
      </c>
      <c r="H40" s="173">
        <f t="shared" si="0"/>
        <v>0</v>
      </c>
      <c r="I40" s="165"/>
      <c r="J40" s="155"/>
      <c r="K40" s="155"/>
      <c r="L40" s="172"/>
      <c r="M40" s="170"/>
      <c r="N40" s="171"/>
      <c r="O40" s="170"/>
      <c r="P40" s="169"/>
      <c r="Q40" s="168"/>
    </row>
    <row r="41" spans="1:17" ht="30">
      <c r="A41" s="155">
        <f>BOQ!C101</f>
        <v>15.01</v>
      </c>
      <c r="B41" s="146">
        <v>29</v>
      </c>
      <c r="C41" s="176" t="str">
        <f>BOQ!F101</f>
        <v>2000 Liter vertical water tank (high quality polyethylene 3 layer - made of Jalalabad)</v>
      </c>
      <c r="D41" s="175" t="str">
        <f>BOQ!H101</f>
        <v>No</v>
      </c>
      <c r="E41" s="173">
        <f>BOQ!G101</f>
        <v>0</v>
      </c>
      <c r="F41" s="178"/>
      <c r="G41" s="179">
        <f>BOQ!I101</f>
        <v>12000</v>
      </c>
      <c r="H41" s="173">
        <f t="shared" si="0"/>
        <v>0</v>
      </c>
      <c r="I41" s="165"/>
      <c r="J41" s="155"/>
      <c r="K41" s="155"/>
      <c r="L41" s="172"/>
      <c r="M41" s="170"/>
      <c r="N41" s="171"/>
      <c r="O41" s="170"/>
      <c r="P41" s="169"/>
      <c r="Q41" s="168"/>
    </row>
    <row r="42" spans="1:17" ht="15.75">
      <c r="A42" s="155">
        <f>BOQ!C102</f>
        <v>15.02</v>
      </c>
      <c r="B42" s="146">
        <v>30</v>
      </c>
      <c r="C42" s="176" t="str">
        <f>BOQ!F102</f>
        <v>500 Litre-horizontanl water tank (high-density polyethylene 5 layer Tanks)</v>
      </c>
      <c r="D42" s="175" t="str">
        <f>BOQ!H102</f>
        <v>No</v>
      </c>
      <c r="E42" s="173">
        <f>BOQ!G102</f>
        <v>0</v>
      </c>
      <c r="F42" s="178"/>
      <c r="G42" s="179">
        <f>BOQ!I102</f>
        <v>6500</v>
      </c>
      <c r="H42" s="173">
        <f t="shared" si="0"/>
        <v>0</v>
      </c>
      <c r="I42" s="165"/>
      <c r="J42" s="155"/>
      <c r="K42" s="155"/>
      <c r="L42" s="172"/>
      <c r="M42" s="170"/>
      <c r="N42" s="171"/>
      <c r="O42" s="170"/>
      <c r="P42" s="169"/>
      <c r="Q42" s="168"/>
    </row>
    <row r="43" spans="1:17" ht="15.75">
      <c r="A43" s="155">
        <f>BOQ!C103</f>
        <v>15.03</v>
      </c>
      <c r="B43" s="146">
        <v>31</v>
      </c>
      <c r="C43" s="176" t="str">
        <f>BOQ!F103</f>
        <v>Sun Water Boiler 200lit</v>
      </c>
      <c r="D43" s="175" t="str">
        <f>BOQ!H103</f>
        <v>No</v>
      </c>
      <c r="E43" s="173">
        <f>BOQ!G103</f>
        <v>0</v>
      </c>
      <c r="F43" s="178"/>
      <c r="G43" s="179">
        <f>BOQ!I103</f>
        <v>15000</v>
      </c>
      <c r="H43" s="173">
        <f t="shared" si="0"/>
        <v>0</v>
      </c>
      <c r="I43" s="165"/>
      <c r="J43" s="155"/>
      <c r="K43" s="155"/>
      <c r="L43" s="172"/>
      <c r="M43" s="170"/>
      <c r="N43" s="171"/>
      <c r="O43" s="170"/>
      <c r="P43" s="169"/>
      <c r="Q43" s="168"/>
    </row>
    <row r="44" spans="1:17" ht="15.75">
      <c r="A44" s="155">
        <f>BOQ!C104</f>
        <v>15.04</v>
      </c>
      <c r="B44" s="146">
        <v>32</v>
      </c>
      <c r="C44" s="176" t="str">
        <f>BOQ!F104</f>
        <v>Stand for water tank 500lit stainless steel (Fixed Structure) 2m height</v>
      </c>
      <c r="D44" s="175" t="str">
        <f>BOQ!H104</f>
        <v>set</v>
      </c>
      <c r="E44" s="173">
        <f>BOQ!G104</f>
        <v>0</v>
      </c>
      <c r="F44" s="178"/>
      <c r="G44" s="179">
        <f>BOQ!I104</f>
        <v>8000</v>
      </c>
      <c r="H44" s="173">
        <f t="shared" si="0"/>
        <v>0</v>
      </c>
      <c r="I44" s="165"/>
      <c r="J44" s="155"/>
      <c r="K44" s="155"/>
      <c r="L44" s="172"/>
      <c r="M44" s="170"/>
      <c r="N44" s="171"/>
      <c r="O44" s="170"/>
      <c r="P44" s="169"/>
      <c r="Q44" s="168"/>
    </row>
    <row r="45" spans="1:17" ht="30">
      <c r="A45" s="155">
        <f>BOQ!C105</f>
        <v>15.049999999999999</v>
      </c>
      <c r="B45" s="146">
        <v>33</v>
      </c>
      <c r="C45" s="176" t="str">
        <f>BOQ!F105</f>
        <v>Hand washing sinks with high quality brass lever faucet, mirror and accessories</v>
      </c>
      <c r="D45" s="175" t="str">
        <f>BOQ!H105</f>
        <v>Set</v>
      </c>
      <c r="E45" s="173">
        <f>BOQ!G105</f>
        <v>7</v>
      </c>
      <c r="F45" s="178"/>
      <c r="G45" s="179">
        <f>BOQ!I105</f>
        <v>1400</v>
      </c>
      <c r="H45" s="173">
        <f t="shared" si="0"/>
        <v>9800</v>
      </c>
      <c r="I45" s="165"/>
      <c r="J45" s="155"/>
      <c r="K45" s="155"/>
      <c r="L45" s="172"/>
      <c r="M45" s="170"/>
      <c r="N45" s="171"/>
      <c r="O45" s="170"/>
      <c r="P45" s="169"/>
      <c r="Q45" s="168"/>
    </row>
    <row r="46" spans="1:17" ht="15.75">
      <c r="A46" s="155">
        <f>BOQ!C106</f>
        <v>15.059999999999999</v>
      </c>
      <c r="B46" s="146">
        <v>34</v>
      </c>
      <c r="C46" s="176" t="str">
        <f>BOQ!F106</f>
        <v>Persian Toilet (size 58x46 cm, material : Ceramic)</v>
      </c>
      <c r="D46" s="175" t="str">
        <f>BOQ!H106</f>
        <v>pcs</v>
      </c>
      <c r="E46" s="173">
        <f>BOQ!G106</f>
        <v>0</v>
      </c>
      <c r="F46" s="178"/>
      <c r="G46" s="179">
        <f>BOQ!I106</f>
        <v>600</v>
      </c>
      <c r="H46" s="173">
        <f t="shared" si="0"/>
        <v>0</v>
      </c>
      <c r="I46" s="165"/>
      <c r="J46" s="155"/>
      <c r="K46" s="155"/>
      <c r="L46" s="172"/>
      <c r="M46" s="170"/>
      <c r="N46" s="171"/>
      <c r="O46" s="170"/>
      <c r="P46" s="169"/>
      <c r="Q46" s="168"/>
    </row>
    <row r="47" spans="1:17" ht="30">
      <c r="A47" s="155">
        <f>BOQ!C107</f>
        <v>15.069999999999999</v>
      </c>
      <c r="B47" s="146">
        <v>35</v>
      </c>
      <c r="C47" s="176" t="str">
        <f>BOQ!F107</f>
        <v>Western toilet (materials: porcelain/vitreous, ergonomic design, comfort height, elongated bowl, dual flush)</v>
      </c>
      <c r="D47" s="175" t="str">
        <f>BOQ!H107</f>
        <v>pcs</v>
      </c>
      <c r="E47" s="173">
        <f>BOQ!G107</f>
        <v>0</v>
      </c>
      <c r="F47" s="178"/>
      <c r="G47" s="179">
        <f>BOQ!I107</f>
        <v>4000</v>
      </c>
      <c r="H47" s="173">
        <f t="shared" si="0"/>
        <v>0</v>
      </c>
      <c r="I47" s="165"/>
      <c r="J47" s="155"/>
      <c r="K47" s="155"/>
      <c r="L47" s="172"/>
      <c r="M47" s="170"/>
      <c r="N47" s="171"/>
      <c r="O47" s="170"/>
      <c r="P47" s="169"/>
      <c r="Q47" s="168"/>
    </row>
    <row r="48" spans="1:17" ht="15.75">
      <c r="A48" s="155">
        <f>BOQ!C108</f>
        <v>15.079999999999998</v>
      </c>
      <c r="B48" s="146">
        <v>36</v>
      </c>
      <c r="C48" s="176" t="str">
        <f>BOQ!F108</f>
        <v>Floor Drain</v>
      </c>
      <c r="D48" s="175" t="str">
        <f>BOQ!H108</f>
        <v>pcs</v>
      </c>
      <c r="E48" s="173">
        <f>BOQ!G108</f>
        <v>0</v>
      </c>
      <c r="F48" s="178"/>
      <c r="G48" s="179">
        <f>BOQ!I108</f>
        <v>25</v>
      </c>
      <c r="H48" s="173">
        <f t="shared" si="0"/>
        <v>0</v>
      </c>
      <c r="I48" s="165"/>
      <c r="J48" s="155"/>
      <c r="K48" s="155"/>
      <c r="L48" s="172"/>
      <c r="M48" s="170"/>
      <c r="N48" s="171"/>
      <c r="O48" s="170"/>
      <c r="P48" s="169"/>
      <c r="Q48" s="168"/>
    </row>
    <row r="49" spans="1:17" ht="15.75">
      <c r="A49" s="155">
        <f>BOQ!C109</f>
        <v>15.089999999999998</v>
      </c>
      <c r="B49" s="146">
        <v>37</v>
      </c>
      <c r="C49" s="176" t="str">
        <f>BOQ!F109</f>
        <v>Brass Shutoff valve 0.5 inch</v>
      </c>
      <c r="D49" s="175" t="str">
        <f>BOQ!H109</f>
        <v>pcs</v>
      </c>
      <c r="E49" s="173">
        <f>BOQ!G109</f>
        <v>0</v>
      </c>
      <c r="F49" s="178"/>
      <c r="G49" s="179">
        <f>BOQ!I109</f>
        <v>150</v>
      </c>
      <c r="H49" s="173">
        <f t="shared" si="0"/>
        <v>0</v>
      </c>
      <c r="I49" s="165"/>
      <c r="J49" s="155"/>
      <c r="K49" s="155"/>
      <c r="L49" s="172"/>
      <c r="M49" s="170"/>
      <c r="N49" s="171"/>
      <c r="O49" s="170"/>
      <c r="P49" s="169"/>
      <c r="Q49" s="168"/>
    </row>
    <row r="50" spans="1:17" ht="15.75">
      <c r="A50" s="155">
        <f>BOQ!C110</f>
        <v>15.099999999999998</v>
      </c>
      <c r="B50" s="146">
        <v>38</v>
      </c>
      <c r="C50" s="176" t="str">
        <f>BOQ!F110</f>
        <v>Paper hunger for all toilets</v>
      </c>
      <c r="D50" s="175" t="str">
        <f>BOQ!H110</f>
        <v>No</v>
      </c>
      <c r="E50" s="173">
        <f>BOQ!G110</f>
        <v>0</v>
      </c>
      <c r="F50" s="178"/>
      <c r="G50" s="179">
        <f>BOQ!I110</f>
        <v>150</v>
      </c>
      <c r="H50" s="173">
        <f t="shared" si="0"/>
        <v>0</v>
      </c>
      <c r="I50" s="165"/>
      <c r="J50" s="155"/>
      <c r="K50" s="155"/>
      <c r="L50" s="172"/>
      <c r="M50" s="170"/>
      <c r="N50" s="171"/>
      <c r="O50" s="170"/>
      <c r="P50" s="169"/>
      <c r="Q50" s="168"/>
    </row>
    <row r="51" spans="1:17" ht="15.75">
      <c r="A51" s="155">
        <f>BOQ!C111</f>
        <v>15.109999999999998</v>
      </c>
      <c r="B51" s="146">
        <v>39</v>
      </c>
      <c r="C51" s="176" t="str">
        <f>BOQ!F111</f>
        <v>Wash pipe for toilets new toilets</v>
      </c>
      <c r="D51" s="175" t="str">
        <f>BOQ!H111</f>
        <v>set</v>
      </c>
      <c r="E51" s="173">
        <f>BOQ!G111</f>
        <v>3</v>
      </c>
      <c r="F51" s="178"/>
      <c r="G51" s="179">
        <f>BOQ!I111</f>
        <v>400</v>
      </c>
      <c r="H51" s="173">
        <f t="shared" si="0"/>
        <v>1200</v>
      </c>
      <c r="I51" s="165"/>
      <c r="J51" s="155"/>
      <c r="K51" s="155"/>
      <c r="L51" s="172"/>
      <c r="M51" s="170"/>
      <c r="N51" s="171"/>
      <c r="O51" s="170"/>
      <c r="P51" s="169"/>
      <c r="Q51" s="168"/>
    </row>
    <row r="52" spans="1:17" ht="15.75">
      <c r="A52" s="155">
        <f>BOQ!C112</f>
        <v>15.119999999999997</v>
      </c>
      <c r="B52" s="146">
        <v>40</v>
      </c>
      <c r="C52" s="176" t="str">
        <f>BOQ!F112</f>
        <v>Flush tank (Material plastic, white color, dual flush, 6 liters capacity)</v>
      </c>
      <c r="D52" s="175" t="str">
        <f>BOQ!H112</f>
        <v>No</v>
      </c>
      <c r="E52" s="173">
        <f>BOQ!G112</f>
        <v>2</v>
      </c>
      <c r="F52" s="178"/>
      <c r="G52" s="179">
        <f>BOQ!I112</f>
        <v>700</v>
      </c>
      <c r="H52" s="173">
        <f t="shared" si="0"/>
        <v>1400</v>
      </c>
      <c r="I52" s="165"/>
      <c r="J52" s="155"/>
      <c r="K52" s="155"/>
      <c r="L52" s="172"/>
      <c r="M52" s="170"/>
      <c r="N52" s="171"/>
      <c r="O52" s="170"/>
      <c r="P52" s="169"/>
      <c r="Q52" s="168"/>
    </row>
    <row r="53" spans="1:17" ht="15.75">
      <c r="A53" s="155">
        <f>BOQ!C113</f>
        <v>15.129999999999997</v>
      </c>
      <c r="B53" s="146">
        <v>41</v>
      </c>
      <c r="C53" s="176" t="str">
        <f>BOQ!F113</f>
        <v>Brass mix lever taps for Hand Washing Sinks</v>
      </c>
      <c r="D53" s="175" t="str">
        <f>BOQ!H113</f>
        <v>No</v>
      </c>
      <c r="E53" s="173">
        <f>BOQ!G113</f>
        <v>0</v>
      </c>
      <c r="F53" s="178"/>
      <c r="G53" s="179">
        <f>BOQ!I113</f>
        <v>800</v>
      </c>
      <c r="H53" s="173">
        <f t="shared" si="0"/>
        <v>0</v>
      </c>
      <c r="I53" s="165"/>
      <c r="J53" s="155"/>
      <c r="K53" s="155"/>
      <c r="L53" s="172"/>
      <c r="M53" s="170"/>
      <c r="N53" s="171"/>
      <c r="O53" s="170"/>
      <c r="P53" s="169"/>
      <c r="Q53" s="168"/>
    </row>
    <row r="54" spans="1:17" ht="15.75">
      <c r="A54" s="155">
        <f>BOQ!C114</f>
        <v>15.139999999999997</v>
      </c>
      <c r="B54" s="146">
        <v>42</v>
      </c>
      <c r="C54" s="176" t="str">
        <f>BOQ!F114</f>
        <v>Bath shower with accessories of shower</v>
      </c>
      <c r="D54" s="175" t="str">
        <f>BOQ!H114</f>
        <v>pcs</v>
      </c>
      <c r="E54" s="173">
        <f>BOQ!G114</f>
        <v>0</v>
      </c>
      <c r="F54" s="178"/>
      <c r="G54" s="179">
        <f>BOQ!I114</f>
        <v>800</v>
      </c>
      <c r="H54" s="173">
        <f t="shared" si="0"/>
        <v>0</v>
      </c>
      <c r="I54" s="165"/>
      <c r="J54" s="155"/>
      <c r="K54" s="155"/>
      <c r="L54" s="172"/>
      <c r="M54" s="170"/>
      <c r="N54" s="171"/>
      <c r="O54" s="170"/>
      <c r="P54" s="169"/>
      <c r="Q54" s="168"/>
    </row>
    <row r="55" spans="1:17" ht="30">
      <c r="A55" s="155">
        <f>BOQ!C115</f>
        <v>15.149999999999997</v>
      </c>
      <c r="B55" s="146">
        <v>43</v>
      </c>
      <c r="C55" s="176" t="str">
        <f>BOQ!F115</f>
        <v>R.O (Reverse osmosis water treatment equipment 50 Litre/hr) Made in Taiwan</v>
      </c>
      <c r="D55" s="175" t="str">
        <f>BOQ!H115</f>
        <v>No</v>
      </c>
      <c r="E55" s="173">
        <f>BOQ!G115</f>
        <v>5</v>
      </c>
      <c r="F55" s="178"/>
      <c r="G55" s="179">
        <f>BOQ!I115</f>
        <v>13000</v>
      </c>
      <c r="H55" s="173">
        <f t="shared" si="0"/>
        <v>65000</v>
      </c>
      <c r="I55" s="165"/>
      <c r="J55" s="155"/>
      <c r="K55" s="155"/>
      <c r="L55" s="172"/>
      <c r="M55" s="170"/>
      <c r="N55" s="171"/>
      <c r="O55" s="170"/>
      <c r="P55" s="169"/>
      <c r="Q55" s="168"/>
    </row>
    <row r="56" spans="1:17" ht="15.75">
      <c r="A56" s="155">
        <f>BOQ!C116</f>
        <v>15.159999999999997</v>
      </c>
      <c r="B56" s="146">
        <v>44</v>
      </c>
      <c r="C56" s="176" t="str">
        <f>BOQ!F116</f>
        <v>Trash bins</v>
      </c>
      <c r="D56" s="175" t="str">
        <f>BOQ!H116</f>
        <v>pcs</v>
      </c>
      <c r="E56" s="173">
        <f>BOQ!G116</f>
        <v>10</v>
      </c>
      <c r="F56" s="178"/>
      <c r="G56" s="179">
        <f>BOQ!I116</f>
        <v>700</v>
      </c>
      <c r="H56" s="173">
        <f t="shared" si="0"/>
        <v>7000</v>
      </c>
      <c r="I56" s="165"/>
      <c r="J56" s="155"/>
      <c r="K56" s="155"/>
      <c r="L56" s="172"/>
      <c r="M56" s="170"/>
      <c r="N56" s="171"/>
      <c r="O56" s="170"/>
      <c r="P56" s="169"/>
      <c r="Q56" s="168"/>
    </row>
    <row r="57" spans="1:17" ht="15.75">
      <c r="A57" s="155">
        <f>BOQ!C117</f>
        <v>15.169999999999996</v>
      </c>
      <c r="B57" s="146">
        <v>45</v>
      </c>
      <c r="C57" s="176" t="str">
        <f>BOQ!F117</f>
        <v>Large Trash Bins</v>
      </c>
      <c r="D57" s="175" t="str">
        <f>BOQ!H117</f>
        <v>pcs</v>
      </c>
      <c r="E57" s="173">
        <f>BOQ!G117</f>
        <v>1</v>
      </c>
      <c r="F57" s="178"/>
      <c r="G57" s="179">
        <f>BOQ!I117</f>
        <v>3000</v>
      </c>
      <c r="H57" s="173">
        <f t="shared" si="0"/>
        <v>3000</v>
      </c>
      <c r="I57" s="165"/>
      <c r="J57" s="155"/>
      <c r="K57" s="155"/>
      <c r="L57" s="172"/>
      <c r="M57" s="170"/>
      <c r="N57" s="171"/>
      <c r="O57" s="170"/>
      <c r="P57" s="169"/>
      <c r="Q57" s="168"/>
    </row>
    <row r="58" spans="1:17" ht="15.75">
      <c r="A58" s="181">
        <f>BOQ!C120</f>
        <v>16.010000000000002</v>
      </c>
      <c r="B58" s="146">
        <v>46</v>
      </c>
      <c r="C58" s="176" t="str">
        <f>BOQ!F120</f>
        <v>Hot deeped galvanized steel 2" pipe for RCC reservoir</v>
      </c>
      <c r="D58" s="178" t="str">
        <f>BOQ!H120</f>
        <v>m</v>
      </c>
      <c r="E58" s="180">
        <f>BOQ!G120</f>
        <v>27.5</v>
      </c>
      <c r="F58" s="178"/>
      <c r="G58" s="179">
        <f>BOQ!I120</f>
        <v>220</v>
      </c>
      <c r="H58" s="173">
        <f t="shared" si="0"/>
        <v>6050</v>
      </c>
      <c r="I58" s="178"/>
      <c r="J58" s="155"/>
      <c r="K58" s="155"/>
      <c r="L58" s="172"/>
      <c r="M58" s="170"/>
      <c r="N58" s="171"/>
      <c r="O58" s="170"/>
      <c r="P58" s="169"/>
      <c r="Q58" s="168"/>
    </row>
    <row r="59" spans="1:17" ht="15.75">
      <c r="A59" s="181">
        <f>BOQ!C121</f>
        <v>16.020000000000003</v>
      </c>
      <c r="B59" s="146">
        <v>47</v>
      </c>
      <c r="C59" s="176" t="str">
        <f>BOQ!F121</f>
        <v>Gate valve stainless steel 2"</v>
      </c>
      <c r="D59" s="178" t="str">
        <f>BOQ!H121</f>
        <v>No</v>
      </c>
      <c r="E59" s="180">
        <f>BOQ!G121</f>
        <v>1</v>
      </c>
      <c r="F59" s="178"/>
      <c r="G59" s="179">
        <f>BOQ!I121</f>
        <v>1800</v>
      </c>
      <c r="H59" s="173">
        <f t="shared" si="0"/>
        <v>1800</v>
      </c>
      <c r="I59" s="178"/>
      <c r="J59" s="155"/>
      <c r="K59" s="155"/>
      <c r="L59" s="172"/>
      <c r="M59" s="170"/>
      <c r="N59" s="171"/>
      <c r="O59" s="170"/>
      <c r="P59" s="169"/>
      <c r="Q59" s="168"/>
    </row>
    <row r="60" spans="1:17" ht="15.75">
      <c r="A60" s="181">
        <f>BOQ!C122</f>
        <v>16.030000000000005</v>
      </c>
      <c r="B60" s="146">
        <v>48</v>
      </c>
      <c r="C60" s="176" t="str">
        <f>BOQ!F122</f>
        <v>PE100, Pressure 10, Ø63mm</v>
      </c>
      <c r="D60" s="178" t="str">
        <f>BOQ!H122</f>
        <v>m</v>
      </c>
      <c r="E60" s="180">
        <f>BOQ!G122</f>
        <v>30</v>
      </c>
      <c r="F60" s="178"/>
      <c r="G60" s="179">
        <f>BOQ!I122</f>
        <v>70</v>
      </c>
      <c r="H60" s="173">
        <f t="shared" si="0"/>
        <v>2100</v>
      </c>
      <c r="I60" s="178"/>
      <c r="J60" s="155"/>
      <c r="K60" s="155"/>
      <c r="L60" s="172"/>
      <c r="M60" s="170"/>
      <c r="N60" s="171"/>
      <c r="O60" s="170"/>
      <c r="P60" s="169"/>
      <c r="Q60" s="168"/>
    </row>
    <row r="61" spans="1:17" ht="15.75">
      <c r="A61" s="181">
        <f>BOQ!C123</f>
        <v>16.040000000000006</v>
      </c>
      <c r="B61" s="146">
        <v>49</v>
      </c>
      <c r="C61" s="176" t="str">
        <f>BOQ!F123</f>
        <v>PE100, Pressure 10, Ø50mm</v>
      </c>
      <c r="D61" s="178" t="str">
        <f>BOQ!H123</f>
        <v>m</v>
      </c>
      <c r="E61" s="180">
        <f>BOQ!G123</f>
        <v>93</v>
      </c>
      <c r="F61" s="178"/>
      <c r="G61" s="179">
        <f>BOQ!I123</f>
        <v>60</v>
      </c>
      <c r="H61" s="173">
        <f t="shared" si="0"/>
        <v>5580</v>
      </c>
      <c r="I61" s="178"/>
      <c r="J61" s="155"/>
      <c r="K61" s="155"/>
      <c r="L61" s="172"/>
      <c r="M61" s="170"/>
      <c r="N61" s="171"/>
      <c r="O61" s="170"/>
      <c r="P61" s="169"/>
      <c r="Q61" s="168"/>
    </row>
    <row r="62" spans="1:17" ht="15.75">
      <c r="A62" s="181">
        <f>BOQ!C124</f>
        <v>16.050000000000008</v>
      </c>
      <c r="B62" s="146">
        <v>50</v>
      </c>
      <c r="C62" s="176" t="str">
        <f>BOQ!F124</f>
        <v>PE100, Pressure 10, Ø40mm</v>
      </c>
      <c r="D62" s="178" t="str">
        <f>BOQ!H124</f>
        <v>m</v>
      </c>
      <c r="E62" s="180">
        <f>BOQ!G124</f>
        <v>49</v>
      </c>
      <c r="F62" s="178"/>
      <c r="G62" s="179">
        <f>BOQ!I124</f>
        <v>55</v>
      </c>
      <c r="H62" s="173">
        <f t="shared" si="0"/>
        <v>2695</v>
      </c>
      <c r="I62" s="178"/>
      <c r="J62" s="155"/>
      <c r="K62" s="155"/>
      <c r="L62" s="172"/>
      <c r="M62" s="170"/>
      <c r="N62" s="171"/>
      <c r="O62" s="170"/>
      <c r="P62" s="169"/>
      <c r="Q62" s="168"/>
    </row>
    <row r="63" spans="1:17" ht="15.75">
      <c r="A63" s="181">
        <f>BOQ!C125</f>
        <v>16.060000000000009</v>
      </c>
      <c r="B63" s="146">
        <v>51</v>
      </c>
      <c r="C63" s="176" t="str">
        <f>BOQ!F125</f>
        <v>PE100, Pressure 10, Ø32mm</v>
      </c>
      <c r="D63" s="178" t="str">
        <f>BOQ!H125</f>
        <v>m</v>
      </c>
      <c r="E63" s="180">
        <f>BOQ!G125</f>
        <v>41</v>
      </c>
      <c r="F63" s="178"/>
      <c r="G63" s="179">
        <f>BOQ!I125</f>
        <v>45</v>
      </c>
      <c r="H63" s="173">
        <f t="shared" si="0"/>
        <v>1845</v>
      </c>
      <c r="I63" s="178"/>
      <c r="J63" s="155"/>
      <c r="K63" s="155"/>
      <c r="L63" s="172"/>
      <c r="M63" s="170"/>
      <c r="N63" s="171"/>
      <c r="O63" s="170"/>
      <c r="P63" s="169"/>
      <c r="Q63" s="168"/>
    </row>
    <row r="64" spans="1:17" ht="15.75">
      <c r="A64" s="181">
        <f>BOQ!C126</f>
        <v>16.070000000000011</v>
      </c>
      <c r="B64" s="146">
        <v>52</v>
      </c>
      <c r="C64" s="176" t="str">
        <f>BOQ!F126</f>
        <v>PPR Pipe Ø32mm</v>
      </c>
      <c r="D64" s="178" t="str">
        <f>BOQ!H126</f>
        <v>m</v>
      </c>
      <c r="E64" s="180">
        <f>BOQ!G126</f>
        <v>24</v>
      </c>
      <c r="F64" s="178"/>
      <c r="G64" s="179">
        <f>BOQ!I126</f>
        <v>65</v>
      </c>
      <c r="H64" s="173">
        <f t="shared" si="0"/>
        <v>1560</v>
      </c>
      <c r="I64" s="178"/>
      <c r="J64" s="155"/>
      <c r="K64" s="155"/>
      <c r="L64" s="172"/>
      <c r="M64" s="170"/>
      <c r="N64" s="171"/>
      <c r="O64" s="170"/>
      <c r="P64" s="169"/>
      <c r="Q64" s="168"/>
    </row>
    <row r="65" spans="1:17" ht="15.75">
      <c r="A65" s="181">
        <f>BOQ!C127</f>
        <v>16.080000000000013</v>
      </c>
      <c r="B65" s="146">
        <v>53</v>
      </c>
      <c r="C65" s="176" t="str">
        <f>BOQ!F127</f>
        <v>PPR Pipe Ø25mm</v>
      </c>
      <c r="D65" s="178" t="str">
        <f>BOQ!H127</f>
        <v>m</v>
      </c>
      <c r="E65" s="180">
        <f>BOQ!G127</f>
        <v>80</v>
      </c>
      <c r="F65" s="178"/>
      <c r="G65" s="179">
        <f>BOQ!I127</f>
        <v>50</v>
      </c>
      <c r="H65" s="173">
        <f t="shared" si="0"/>
        <v>4000</v>
      </c>
      <c r="I65" s="178"/>
      <c r="J65" s="155"/>
      <c r="K65" s="155"/>
      <c r="L65" s="172"/>
      <c r="M65" s="170"/>
      <c r="N65" s="171"/>
      <c r="O65" s="170"/>
      <c r="P65" s="169"/>
      <c r="Q65" s="168"/>
    </row>
    <row r="66" spans="1:17" ht="30">
      <c r="A66" s="181">
        <f>BOQ!C128</f>
        <v>16.090000000000014</v>
      </c>
      <c r="B66" s="146">
        <v>54</v>
      </c>
      <c r="C66" s="176" t="str">
        <f>BOQ!F128</f>
        <v>Hand washing sinks with high quality brass lever faucet, mirror and accessories</v>
      </c>
      <c r="D66" s="178" t="str">
        <f>BOQ!H128</f>
        <v>Set</v>
      </c>
      <c r="E66" s="180">
        <f>BOQ!G128</f>
        <v>7</v>
      </c>
      <c r="F66" s="178"/>
      <c r="G66" s="179">
        <f>BOQ!I128</f>
        <v>1400</v>
      </c>
      <c r="H66" s="173">
        <f t="shared" si="0"/>
        <v>9800</v>
      </c>
      <c r="I66" s="178"/>
      <c r="J66" s="155"/>
      <c r="K66" s="155"/>
      <c r="L66" s="172"/>
      <c r="M66" s="170"/>
      <c r="N66" s="171"/>
      <c r="O66" s="170"/>
      <c r="P66" s="169"/>
      <c r="Q66" s="168"/>
    </row>
    <row r="67" spans="1:17" ht="15.75">
      <c r="A67" s="181">
        <f>BOQ!C129</f>
        <v>16.100000000000016</v>
      </c>
      <c r="B67" s="146">
        <v>55</v>
      </c>
      <c r="C67" s="176" t="str">
        <f>BOQ!F129</f>
        <v>High quality brass lever faucets</v>
      </c>
      <c r="D67" s="178" t="str">
        <f>BOQ!H129</f>
        <v>No</v>
      </c>
      <c r="E67" s="180">
        <f>BOQ!G129</f>
        <v>12</v>
      </c>
      <c r="F67" s="178"/>
      <c r="G67" s="179">
        <f>BOQ!I129</f>
        <v>150</v>
      </c>
      <c r="H67" s="173">
        <f t="shared" si="0"/>
        <v>1800</v>
      </c>
      <c r="I67" s="178"/>
      <c r="J67" s="155"/>
      <c r="K67" s="155"/>
      <c r="L67" s="172"/>
      <c r="M67" s="170"/>
      <c r="N67" s="171"/>
      <c r="O67" s="170"/>
      <c r="P67" s="169"/>
      <c r="Q67" s="168"/>
    </row>
    <row r="68" spans="1:17" ht="15.75">
      <c r="A68" s="181">
        <f>BOQ!C130</f>
        <v>16.110000000000017</v>
      </c>
      <c r="B68" s="146">
        <v>56</v>
      </c>
      <c r="C68" s="176" t="str">
        <f>BOQ!F130</f>
        <v>Electrical water boiler 80 litre, Arabic super Aquahot with all spares</v>
      </c>
      <c r="D68" s="178" t="str">
        <f>BOQ!H130</f>
        <v>No</v>
      </c>
      <c r="E68" s="180">
        <f>BOQ!G130</f>
        <v>1</v>
      </c>
      <c r="F68" s="178"/>
      <c r="G68" s="179">
        <f>BOQ!I130</f>
        <v>15000</v>
      </c>
      <c r="H68" s="173">
        <f t="shared" si="0"/>
        <v>15000</v>
      </c>
      <c r="I68" s="178"/>
      <c r="J68" s="155"/>
      <c r="K68" s="155"/>
      <c r="L68" s="172"/>
      <c r="M68" s="170"/>
      <c r="N68" s="171"/>
      <c r="O68" s="170"/>
      <c r="P68" s="169"/>
      <c r="Q68" s="168"/>
    </row>
    <row r="69" spans="1:17" ht="15.75">
      <c r="A69" s="181">
        <f>BOQ!C131</f>
        <v>16.120000000000019</v>
      </c>
      <c r="B69" s="146">
        <v>57</v>
      </c>
      <c r="C69" s="176" t="str">
        <f>BOQ!F131</f>
        <v>PPR Tee size 32mm PN25</v>
      </c>
      <c r="D69" s="178" t="str">
        <f>BOQ!H131</f>
        <v>pcs</v>
      </c>
      <c r="E69" s="180">
        <f>BOQ!G131</f>
        <v>15</v>
      </c>
      <c r="F69" s="178"/>
      <c r="G69" s="179">
        <f>BOQ!I131</f>
        <v>20</v>
      </c>
      <c r="H69" s="173">
        <f t="shared" si="0"/>
        <v>300</v>
      </c>
      <c r="I69" s="178"/>
      <c r="J69" s="155"/>
      <c r="K69" s="155"/>
      <c r="L69" s="172"/>
      <c r="M69" s="170"/>
      <c r="N69" s="171"/>
      <c r="O69" s="170"/>
      <c r="P69" s="169"/>
      <c r="Q69" s="168"/>
    </row>
    <row r="70" spans="1:17" ht="15.75">
      <c r="A70" s="181">
        <f>BOQ!C132</f>
        <v>16.13000000000002</v>
      </c>
      <c r="B70" s="146">
        <v>58</v>
      </c>
      <c r="C70" s="176" t="str">
        <f>BOQ!F132</f>
        <v>PPR Tee size 25mm PN25</v>
      </c>
      <c r="D70" s="178" t="str">
        <f>BOQ!H132</f>
        <v>pcs</v>
      </c>
      <c r="E70" s="180">
        <f>BOQ!G132</f>
        <v>18</v>
      </c>
      <c r="F70" s="178"/>
      <c r="G70" s="179">
        <f>BOQ!I132</f>
        <v>10</v>
      </c>
      <c r="H70" s="173">
        <f t="shared" si="0"/>
        <v>180</v>
      </c>
      <c r="I70" s="178"/>
      <c r="J70" s="155"/>
      <c r="K70" s="155"/>
      <c r="L70" s="172"/>
      <c r="M70" s="170"/>
      <c r="N70" s="171"/>
      <c r="O70" s="170"/>
      <c r="P70" s="169"/>
      <c r="Q70" s="168"/>
    </row>
    <row r="71" spans="1:17" ht="15.75">
      <c r="A71" s="181">
        <f>BOQ!C133</f>
        <v>16.140000000000022</v>
      </c>
      <c r="B71" s="146">
        <v>59</v>
      </c>
      <c r="C71" s="176" t="str">
        <f>BOQ!F133</f>
        <v>PPR Elbow size 32mm PN25</v>
      </c>
      <c r="D71" s="178" t="str">
        <f>BOQ!H133</f>
        <v>pcs</v>
      </c>
      <c r="E71" s="180">
        <f>BOQ!G133</f>
        <v>15</v>
      </c>
      <c r="F71" s="178"/>
      <c r="G71" s="179">
        <f>BOQ!I133</f>
        <v>20</v>
      </c>
      <c r="H71" s="173">
        <f t="shared" si="0"/>
        <v>300</v>
      </c>
      <c r="I71" s="178"/>
      <c r="J71" s="155"/>
      <c r="K71" s="155"/>
      <c r="L71" s="172"/>
      <c r="M71" s="170"/>
      <c r="N71" s="171"/>
      <c r="O71" s="170"/>
      <c r="P71" s="169"/>
      <c r="Q71" s="168"/>
    </row>
    <row r="72" spans="1:17" ht="15.75">
      <c r="A72" s="181">
        <f>BOQ!C134</f>
        <v>16.150000000000023</v>
      </c>
      <c r="B72" s="146">
        <v>60</v>
      </c>
      <c r="C72" s="176" t="str">
        <f>BOQ!F134</f>
        <v>PPR Elbow size 25mm PN25</v>
      </c>
      <c r="D72" s="178" t="str">
        <f>BOQ!H134</f>
        <v>pcs</v>
      </c>
      <c r="E72" s="180">
        <f>BOQ!G134</f>
        <v>12</v>
      </c>
      <c r="F72" s="178"/>
      <c r="G72" s="179">
        <f>BOQ!I134</f>
        <v>10</v>
      </c>
      <c r="H72" s="173">
        <f t="shared" si="0"/>
        <v>120</v>
      </c>
      <c r="I72" s="178"/>
      <c r="J72" s="155"/>
      <c r="K72" s="155"/>
      <c r="L72" s="172"/>
      <c r="M72" s="170"/>
      <c r="N72" s="171"/>
      <c r="O72" s="170"/>
      <c r="P72" s="169"/>
      <c r="Q72" s="168"/>
    </row>
    <row r="73" spans="1:17" ht="15.75">
      <c r="A73" s="181">
        <f>BOQ!C135</f>
        <v>16.160000000000025</v>
      </c>
      <c r="B73" s="146">
        <v>61</v>
      </c>
      <c r="C73" s="176" t="str">
        <f>BOQ!F135</f>
        <v>PPR Elbow one side treathed coper size 25mm PN25</v>
      </c>
      <c r="D73" s="178" t="str">
        <f>BOQ!H135</f>
        <v>pcs</v>
      </c>
      <c r="E73" s="180">
        <f>BOQ!G135</f>
        <v>10</v>
      </c>
      <c r="F73" s="178"/>
      <c r="G73" s="179">
        <f>BOQ!I135</f>
        <v>10</v>
      </c>
      <c r="H73" s="173">
        <f t="shared" si="0"/>
        <v>100</v>
      </c>
      <c r="I73" s="178"/>
      <c r="J73" s="155"/>
      <c r="K73" s="155"/>
      <c r="L73" s="172"/>
      <c r="M73" s="170"/>
      <c r="N73" s="171"/>
      <c r="O73" s="170"/>
      <c r="P73" s="169"/>
      <c r="Q73" s="168"/>
    </row>
    <row r="74" spans="1:17" ht="15.75">
      <c r="A74" s="181">
        <f>BOQ!C136</f>
        <v>16.170000000000027</v>
      </c>
      <c r="B74" s="146">
        <v>62</v>
      </c>
      <c r="C74" s="176" t="str">
        <f>BOQ!F136</f>
        <v>PVC P-Trip 4" PN 6 - Class B</v>
      </c>
      <c r="D74" s="178" t="str">
        <f>BOQ!H136</f>
        <v>pc</v>
      </c>
      <c r="E74" s="180">
        <f>BOQ!G136</f>
        <v>1</v>
      </c>
      <c r="F74" s="178"/>
      <c r="G74" s="179">
        <f>BOQ!I136</f>
        <v>80</v>
      </c>
      <c r="H74" s="173">
        <f t="shared" si="0"/>
        <v>80</v>
      </c>
      <c r="I74" s="178"/>
      <c r="J74" s="155"/>
      <c r="K74" s="155"/>
      <c r="L74" s="172"/>
      <c r="M74" s="170"/>
      <c r="N74" s="171"/>
      <c r="O74" s="170"/>
      <c r="P74" s="169"/>
      <c r="Q74" s="168"/>
    </row>
    <row r="75" spans="1:17" ht="15.75">
      <c r="A75" s="181">
        <f>BOQ!C137</f>
        <v>16.180000000000028</v>
      </c>
      <c r="B75" s="146">
        <v>63</v>
      </c>
      <c r="C75" s="176" t="str">
        <f>BOQ!F137</f>
        <v>PVC P-Trip 4" PN 6 - Class B</v>
      </c>
      <c r="D75" s="178" t="str">
        <f>BOQ!H137</f>
        <v>pc</v>
      </c>
      <c r="E75" s="180">
        <f>BOQ!G137</f>
        <v>1</v>
      </c>
      <c r="F75" s="178"/>
      <c r="G75" s="179">
        <f>BOQ!I137</f>
        <v>80</v>
      </c>
      <c r="H75" s="173">
        <f t="shared" si="0"/>
        <v>80</v>
      </c>
      <c r="I75" s="178"/>
      <c r="J75" s="155"/>
      <c r="K75" s="155"/>
      <c r="L75" s="172"/>
      <c r="M75" s="170"/>
      <c r="N75" s="171"/>
      <c r="O75" s="170"/>
      <c r="P75" s="169"/>
      <c r="Q75" s="168"/>
    </row>
    <row r="76" spans="1:17" ht="15.75">
      <c r="A76" s="181">
        <f>BOQ!C138</f>
        <v>16.19000000000003</v>
      </c>
      <c r="B76" s="146">
        <v>64</v>
      </c>
      <c r="C76" s="176" t="str">
        <f>BOQ!F138</f>
        <v>PVC Pipe 4" Class B 6bar</v>
      </c>
      <c r="D76" s="178" t="str">
        <f>BOQ!H138</f>
        <v>m</v>
      </c>
      <c r="E76" s="180">
        <f>BOQ!G138</f>
        <v>23</v>
      </c>
      <c r="F76" s="178"/>
      <c r="G76" s="179">
        <f>BOQ!I138</f>
        <v>200</v>
      </c>
      <c r="H76" s="173">
        <f t="shared" si="0"/>
        <v>4600</v>
      </c>
      <c r="I76" s="178"/>
      <c r="J76" s="155"/>
      <c r="K76" s="155"/>
      <c r="L76" s="172"/>
      <c r="M76" s="170"/>
      <c r="N76" s="171"/>
      <c r="O76" s="170"/>
      <c r="P76" s="169"/>
      <c r="Q76" s="168"/>
    </row>
    <row r="77" spans="1:17" ht="15.75">
      <c r="A77" s="181">
        <f>BOQ!C139</f>
        <v>16.200000000000031</v>
      </c>
      <c r="B77" s="146">
        <v>65</v>
      </c>
      <c r="C77" s="176" t="str">
        <f>BOQ!F139</f>
        <v>PVC Pipe 3" Class B 6bar</v>
      </c>
      <c r="D77" s="178" t="str">
        <f>BOQ!H139</f>
        <v>m</v>
      </c>
      <c r="E77" s="180">
        <f>BOQ!G139</f>
        <v>25</v>
      </c>
      <c r="F77" s="178"/>
      <c r="G77" s="179">
        <f>BOQ!I139</f>
        <v>180</v>
      </c>
      <c r="H77" s="173">
        <f t="shared" si="0"/>
        <v>4500</v>
      </c>
      <c r="I77" s="178"/>
      <c r="J77" s="155"/>
      <c r="K77" s="155"/>
      <c r="L77" s="172"/>
      <c r="M77" s="170"/>
      <c r="N77" s="171"/>
      <c r="O77" s="170"/>
      <c r="P77" s="169"/>
      <c r="Q77" s="168"/>
    </row>
    <row r="78" spans="1:17" ht="15.75">
      <c r="A78" s="181">
        <f>BOQ!C140</f>
        <v>16.210000000000033</v>
      </c>
      <c r="B78" s="146">
        <v>66</v>
      </c>
      <c r="C78" s="176" t="str">
        <f>BOQ!F140</f>
        <v>PVC Pipe 2" Class B 6bar</v>
      </c>
      <c r="D78" s="178" t="str">
        <f>BOQ!H140</f>
        <v>m</v>
      </c>
      <c r="E78" s="180">
        <f>BOQ!G140</f>
        <v>6</v>
      </c>
      <c r="F78" s="178"/>
      <c r="G78" s="179">
        <f>BOQ!I140</f>
        <v>110</v>
      </c>
      <c r="H78" s="173">
        <f t="shared" ref="H78:H89" si="1">G78*E78</f>
        <v>660</v>
      </c>
      <c r="I78" s="178"/>
      <c r="J78" s="155"/>
      <c r="K78" s="155"/>
      <c r="L78" s="172"/>
      <c r="M78" s="170"/>
      <c r="N78" s="171"/>
      <c r="O78" s="170"/>
      <c r="P78" s="169"/>
      <c r="Q78" s="168"/>
    </row>
    <row r="79" spans="1:17" ht="15.75">
      <c r="A79" s="181">
        <f>BOQ!C141</f>
        <v>16.220000000000034</v>
      </c>
      <c r="B79" s="146">
        <v>67</v>
      </c>
      <c r="C79" s="176" t="str">
        <f>BOQ!F141</f>
        <v>PVC Tee 4X3" 45 degree PN 6 - Class B</v>
      </c>
      <c r="D79" s="178" t="str">
        <f>BOQ!H141</f>
        <v>pc</v>
      </c>
      <c r="E79" s="180">
        <f>BOQ!G141</f>
        <v>10</v>
      </c>
      <c r="F79" s="178"/>
      <c r="G79" s="179">
        <f>BOQ!I141</f>
        <v>100</v>
      </c>
      <c r="H79" s="173">
        <f t="shared" si="1"/>
        <v>1000</v>
      </c>
      <c r="I79" s="178"/>
      <c r="J79" s="155"/>
      <c r="K79" s="155"/>
      <c r="L79" s="172"/>
      <c r="M79" s="170"/>
      <c r="N79" s="171"/>
      <c r="O79" s="170"/>
      <c r="P79" s="169"/>
      <c r="Q79" s="168"/>
    </row>
    <row r="80" spans="1:17" ht="15.75">
      <c r="A80" s="181">
        <f>BOQ!C142</f>
        <v>16.230000000000036</v>
      </c>
      <c r="B80" s="146">
        <v>68</v>
      </c>
      <c r="C80" s="176" t="str">
        <f>BOQ!F142</f>
        <v>PVC Tee 3X2" 45 degree PN 6 - Class B</v>
      </c>
      <c r="D80" s="178" t="str">
        <f>BOQ!H142</f>
        <v>pc</v>
      </c>
      <c r="E80" s="180">
        <f>BOQ!G142</f>
        <v>6</v>
      </c>
      <c r="F80" s="178"/>
      <c r="G80" s="179">
        <f>BOQ!I142</f>
        <v>85</v>
      </c>
      <c r="H80" s="173">
        <f t="shared" si="1"/>
        <v>510</v>
      </c>
      <c r="I80" s="178"/>
      <c r="J80" s="155"/>
      <c r="K80" s="155"/>
      <c r="L80" s="172"/>
      <c r="M80" s="170"/>
      <c r="N80" s="171"/>
      <c r="O80" s="170"/>
      <c r="P80" s="169"/>
      <c r="Q80" s="168"/>
    </row>
    <row r="81" spans="1:17" ht="15.75">
      <c r="A81" s="181">
        <f>BOQ!C143</f>
        <v>16.240000000000038</v>
      </c>
      <c r="B81" s="146">
        <v>69</v>
      </c>
      <c r="C81" s="176" t="str">
        <f>BOQ!F143</f>
        <v>PVC Tee 4" PN 6 - Class B</v>
      </c>
      <c r="D81" s="178" t="str">
        <f>BOQ!H143</f>
        <v>pc</v>
      </c>
      <c r="E81" s="180">
        <f>BOQ!G143</f>
        <v>1</v>
      </c>
      <c r="F81" s="178"/>
      <c r="G81" s="179">
        <f>BOQ!I143</f>
        <v>100</v>
      </c>
      <c r="H81" s="173">
        <f t="shared" si="1"/>
        <v>100</v>
      </c>
      <c r="I81" s="178"/>
      <c r="J81" s="155"/>
      <c r="K81" s="155"/>
      <c r="L81" s="172"/>
      <c r="M81" s="170"/>
      <c r="N81" s="171"/>
      <c r="O81" s="170"/>
      <c r="P81" s="169"/>
      <c r="Q81" s="168"/>
    </row>
    <row r="82" spans="1:17" ht="15.75">
      <c r="A82" s="181">
        <f>BOQ!C144</f>
        <v>16.250000000000039</v>
      </c>
      <c r="B82" s="146">
        <v>70</v>
      </c>
      <c r="C82" s="176" t="str">
        <f>BOQ!F144</f>
        <v>PVC Elbow 4 inch 90 degree PN 6 - Class B</v>
      </c>
      <c r="D82" s="178" t="str">
        <f>BOQ!H144</f>
        <v>pc</v>
      </c>
      <c r="E82" s="180">
        <f>BOQ!G144</f>
        <v>3</v>
      </c>
      <c r="F82" s="178"/>
      <c r="G82" s="179">
        <f>BOQ!I144</f>
        <v>100</v>
      </c>
      <c r="H82" s="173">
        <f t="shared" si="1"/>
        <v>300</v>
      </c>
      <c r="I82" s="178"/>
      <c r="J82" s="155"/>
      <c r="K82" s="155"/>
      <c r="L82" s="172"/>
      <c r="M82" s="170"/>
      <c r="N82" s="171"/>
      <c r="O82" s="170"/>
      <c r="P82" s="169"/>
      <c r="Q82" s="168"/>
    </row>
    <row r="83" spans="1:17" ht="15.75">
      <c r="A83" s="181">
        <f>BOQ!C145</f>
        <v>16.260000000000041</v>
      </c>
      <c r="B83" s="146">
        <v>71</v>
      </c>
      <c r="C83" s="176" t="str">
        <f>BOQ!F145</f>
        <v>PVC Elbow 2" 45 degree PN 6 - Class B</v>
      </c>
      <c r="D83" s="178" t="str">
        <f>BOQ!H145</f>
        <v>pc</v>
      </c>
      <c r="E83" s="180">
        <f>BOQ!G145</f>
        <v>12</v>
      </c>
      <c r="F83" s="178"/>
      <c r="G83" s="179">
        <f>BOQ!I145</f>
        <v>40</v>
      </c>
      <c r="H83" s="173">
        <f t="shared" si="1"/>
        <v>480</v>
      </c>
      <c r="I83" s="178"/>
      <c r="J83" s="155"/>
      <c r="K83" s="155"/>
      <c r="L83" s="172"/>
      <c r="M83" s="170"/>
      <c r="N83" s="171"/>
      <c r="O83" s="170"/>
      <c r="P83" s="169"/>
      <c r="Q83" s="168"/>
    </row>
    <row r="84" spans="1:17" ht="15.75">
      <c r="A84" s="181">
        <f>BOQ!C146</f>
        <v>16.270000000000042</v>
      </c>
      <c r="B84" s="146">
        <v>72</v>
      </c>
      <c r="C84" s="176" t="str">
        <f>BOQ!F146</f>
        <v>PVC Elbow 4" 45 degree PN 6 - Class B</v>
      </c>
      <c r="D84" s="178" t="str">
        <f>BOQ!H146</f>
        <v>pc</v>
      </c>
      <c r="E84" s="180">
        <f>BOQ!G146</f>
        <v>1</v>
      </c>
      <c r="F84" s="178"/>
      <c r="G84" s="179">
        <f>BOQ!I146</f>
        <v>80</v>
      </c>
      <c r="H84" s="173">
        <f t="shared" si="1"/>
        <v>80</v>
      </c>
      <c r="I84" s="178"/>
      <c r="J84" s="155"/>
      <c r="K84" s="155"/>
      <c r="L84" s="172"/>
      <c r="M84" s="170"/>
      <c r="N84" s="171"/>
      <c r="O84" s="170"/>
      <c r="P84" s="169"/>
      <c r="Q84" s="168"/>
    </row>
    <row r="85" spans="1:17" ht="15.75">
      <c r="A85" s="181">
        <f>BOQ!C147</f>
        <v>16.280000000000044</v>
      </c>
      <c r="B85" s="146">
        <v>73</v>
      </c>
      <c r="C85" s="176" t="str">
        <f>BOQ!F147</f>
        <v>Pipe PE 100,HDPE 16Bar Diameter 63mm</v>
      </c>
      <c r="D85" s="178" t="str">
        <f>BOQ!H147</f>
        <v>m</v>
      </c>
      <c r="E85" s="180">
        <f>BOQ!G147</f>
        <v>6</v>
      </c>
      <c r="F85" s="178"/>
      <c r="G85" s="179">
        <f>BOQ!I147</f>
        <v>125</v>
      </c>
      <c r="H85" s="173">
        <f t="shared" si="1"/>
        <v>750</v>
      </c>
      <c r="I85" s="178"/>
      <c r="J85" s="155"/>
      <c r="K85" s="155"/>
      <c r="L85" s="172"/>
      <c r="M85" s="170"/>
      <c r="N85" s="171"/>
      <c r="O85" s="170"/>
      <c r="P85" s="169"/>
      <c r="Q85" s="168"/>
    </row>
    <row r="86" spans="1:17" ht="15.75">
      <c r="A86" s="181">
        <f>BOQ!C148</f>
        <v>16.290000000000045</v>
      </c>
      <c r="B86" s="146">
        <v>74</v>
      </c>
      <c r="C86" s="176" t="str">
        <f>BOQ!F148</f>
        <v xml:space="preserve">Glass wool for pipes insulation @ 5cm thickness </v>
      </c>
      <c r="D86" s="178" t="str">
        <f>BOQ!H148</f>
        <v>m2</v>
      </c>
      <c r="E86" s="180">
        <f>BOQ!G148</f>
        <v>60</v>
      </c>
      <c r="F86" s="178"/>
      <c r="G86" s="179">
        <f>BOQ!I148</f>
        <v>150</v>
      </c>
      <c r="H86" s="173">
        <f t="shared" si="1"/>
        <v>9000</v>
      </c>
      <c r="I86" s="178"/>
      <c r="J86" s="155"/>
      <c r="K86" s="155"/>
      <c r="L86" s="172"/>
      <c r="M86" s="170"/>
      <c r="N86" s="171"/>
      <c r="O86" s="170"/>
      <c r="P86" s="169"/>
      <c r="Q86" s="168"/>
    </row>
    <row r="87" spans="1:17" ht="15.75">
      <c r="A87" s="181">
        <f>BOQ!C149</f>
        <v>16.300000000000047</v>
      </c>
      <c r="B87" s="146">
        <v>75</v>
      </c>
      <c r="C87" s="176" t="str">
        <f>BOQ!F149</f>
        <v>Burlap for covering reservoir GI pipes</v>
      </c>
      <c r="D87" s="178" t="str">
        <f>BOQ!H149</f>
        <v>m2</v>
      </c>
      <c r="E87" s="180">
        <f>BOQ!G149</f>
        <v>15</v>
      </c>
      <c r="F87" s="178"/>
      <c r="G87" s="179">
        <f>BOQ!I149</f>
        <v>35</v>
      </c>
      <c r="H87" s="173">
        <f t="shared" si="1"/>
        <v>525</v>
      </c>
      <c r="I87" s="178"/>
      <c r="J87" s="155"/>
      <c r="K87" s="155"/>
      <c r="L87" s="172"/>
      <c r="M87" s="170"/>
      <c r="N87" s="171"/>
      <c r="O87" s="170"/>
      <c r="P87" s="169"/>
      <c r="Q87" s="168"/>
    </row>
    <row r="88" spans="1:17" ht="15.75">
      <c r="A88" s="177">
        <f>BOQ!C196</f>
        <v>22.01</v>
      </c>
      <c r="B88" s="146">
        <v>76</v>
      </c>
      <c r="C88" s="176" t="str">
        <f>BOQ!F196</f>
        <v>Total transportaion of material to the village</v>
      </c>
      <c r="D88" s="175" t="s">
        <v>88</v>
      </c>
      <c r="E88" s="173">
        <v>1</v>
      </c>
      <c r="F88" s="175"/>
      <c r="G88" s="174">
        <f>BOQ!I196</f>
        <v>60000</v>
      </c>
      <c r="H88" s="173">
        <f t="shared" si="1"/>
        <v>60000</v>
      </c>
      <c r="I88" s="165"/>
      <c r="J88" s="155"/>
      <c r="K88" s="155"/>
      <c r="L88" s="172"/>
      <c r="M88" s="170"/>
      <c r="N88" s="171"/>
      <c r="O88" s="170"/>
      <c r="P88" s="169"/>
      <c r="Q88" s="168"/>
    </row>
    <row r="89" spans="1:17" ht="15.75">
      <c r="A89" s="177">
        <f>BOQ!C197</f>
        <v>22.02</v>
      </c>
      <c r="B89" s="146">
        <v>77</v>
      </c>
      <c r="C89" s="176" t="str">
        <f>BOQ!F197</f>
        <v>Miscellaneous vages (5%) of total project</v>
      </c>
      <c r="D89" s="175" t="s">
        <v>88</v>
      </c>
      <c r="E89" s="173">
        <v>1</v>
      </c>
      <c r="F89" s="175"/>
      <c r="G89" s="174">
        <f>BOQ!I197</f>
        <v>15000</v>
      </c>
      <c r="H89" s="173">
        <f t="shared" si="1"/>
        <v>15000</v>
      </c>
      <c r="I89" s="165"/>
      <c r="J89" s="155"/>
      <c r="K89" s="155"/>
      <c r="L89" s="172"/>
      <c r="M89" s="170"/>
      <c r="N89" s="171"/>
      <c r="O89" s="170"/>
      <c r="P89" s="169"/>
      <c r="Q89" s="168"/>
    </row>
    <row r="90" spans="1:17" ht="15.75">
      <c r="A90" s="283" t="s">
        <v>373</v>
      </c>
      <c r="B90" s="285"/>
      <c r="C90" s="285"/>
      <c r="D90" s="285"/>
      <c r="E90" s="285"/>
      <c r="F90" s="285"/>
      <c r="G90" s="284"/>
      <c r="H90" s="166">
        <f>SUM(H13:H89)</f>
        <v>851999.99999999988</v>
      </c>
      <c r="I90" s="165"/>
      <c r="J90" s="164"/>
      <c r="K90" s="163"/>
      <c r="L90" s="163"/>
      <c r="M90" s="163"/>
      <c r="N90" s="163"/>
      <c r="O90" s="162"/>
      <c r="P90" s="258"/>
      <c r="Q90" s="258"/>
    </row>
    <row r="91" spans="1:17" ht="16.5" customHeight="1">
      <c r="G91" s="160"/>
    </row>
    <row r="92" spans="1:17">
      <c r="F92" s="161"/>
    </row>
    <row r="93" spans="1:17">
      <c r="G93" s="160"/>
    </row>
    <row r="94" spans="1:17" ht="24" customHeight="1">
      <c r="B94" s="154" t="s">
        <v>374</v>
      </c>
      <c r="C94" s="158"/>
      <c r="D94" s="157"/>
      <c r="E94" s="157"/>
      <c r="F94" s="255" t="s">
        <v>375</v>
      </c>
      <c r="G94" s="255"/>
      <c r="H94" s="253"/>
      <c r="I94" s="253"/>
      <c r="L94" s="154" t="s">
        <v>376</v>
      </c>
      <c r="M94" s="253"/>
      <c r="N94" s="253"/>
      <c r="O94" s="256"/>
      <c r="P94" s="256"/>
    </row>
    <row r="95" spans="1:17" ht="24" customHeight="1">
      <c r="B95" s="154" t="s">
        <v>377</v>
      </c>
      <c r="C95" s="158"/>
      <c r="D95" s="157"/>
      <c r="E95" s="157"/>
      <c r="F95" s="255" t="s">
        <v>377</v>
      </c>
      <c r="G95" s="255"/>
      <c r="H95" s="253"/>
      <c r="I95" s="253"/>
      <c r="L95" s="154" t="s">
        <v>377</v>
      </c>
      <c r="M95" s="253"/>
      <c r="N95" s="253"/>
      <c r="O95" s="256"/>
      <c r="P95" s="256"/>
    </row>
    <row r="96" spans="1:17" ht="24" customHeight="1">
      <c r="B96" s="154" t="s">
        <v>378</v>
      </c>
      <c r="C96" s="158"/>
      <c r="D96" s="157"/>
      <c r="E96" s="157"/>
      <c r="F96" s="255" t="s">
        <v>378</v>
      </c>
      <c r="G96" s="255"/>
      <c r="H96" s="253"/>
      <c r="I96" s="253"/>
      <c r="L96" s="154" t="s">
        <v>378</v>
      </c>
      <c r="M96" s="253"/>
      <c r="N96" s="253"/>
      <c r="O96" s="256"/>
      <c r="P96" s="256"/>
    </row>
    <row r="97" spans="2:16" ht="24" customHeight="1">
      <c r="B97" s="283" t="s">
        <v>379</v>
      </c>
      <c r="C97" s="284"/>
      <c r="D97" s="159"/>
      <c r="E97" s="159"/>
      <c r="F97" s="255" t="s">
        <v>379</v>
      </c>
      <c r="G97" s="255"/>
      <c r="H97" s="257"/>
      <c r="I97" s="253"/>
      <c r="L97" s="154" t="s">
        <v>379</v>
      </c>
      <c r="M97" s="253"/>
      <c r="N97" s="253"/>
      <c r="O97" s="254"/>
      <c r="P97" s="254"/>
    </row>
    <row r="98" spans="2:16" ht="79.150000000000006" customHeight="1">
      <c r="B98" s="274" t="s">
        <v>380</v>
      </c>
      <c r="C98" s="275"/>
      <c r="D98" s="157"/>
      <c r="E98" s="157"/>
      <c r="F98" s="283" t="s">
        <v>380</v>
      </c>
      <c r="G98" s="284"/>
      <c r="H98" s="252"/>
      <c r="I98" s="252"/>
      <c r="L98" s="154" t="s">
        <v>380</v>
      </c>
      <c r="M98" s="253"/>
      <c r="N98" s="253"/>
      <c r="O98" s="254"/>
      <c r="P98" s="254"/>
    </row>
  </sheetData>
  <mergeCells count="44">
    <mergeCell ref="B98:C98"/>
    <mergeCell ref="B2:G2"/>
    <mergeCell ref="B3:G3"/>
    <mergeCell ref="B5:C6"/>
    <mergeCell ref="D5:E5"/>
    <mergeCell ref="B10:B12"/>
    <mergeCell ref="C10:C12"/>
    <mergeCell ref="F95:G95"/>
    <mergeCell ref="B97:C97"/>
    <mergeCell ref="F97:G97"/>
    <mergeCell ref="F98:G98"/>
    <mergeCell ref="A90:G90"/>
    <mergeCell ref="M6:N6"/>
    <mergeCell ref="D6:E6"/>
    <mergeCell ref="F5:G5"/>
    <mergeCell ref="F6:G6"/>
    <mergeCell ref="P11:Q12"/>
    <mergeCell ref="D10:D12"/>
    <mergeCell ref="E10:E12"/>
    <mergeCell ref="F10:F12"/>
    <mergeCell ref="B8:Q8"/>
    <mergeCell ref="G10:G12"/>
    <mergeCell ref="H10:H12"/>
    <mergeCell ref="I10:O10"/>
    <mergeCell ref="P10:Q10"/>
    <mergeCell ref="I11:I12"/>
    <mergeCell ref="H95:I95"/>
    <mergeCell ref="M95:N95"/>
    <mergeCell ref="O95:P95"/>
    <mergeCell ref="P90:Q90"/>
    <mergeCell ref="F94:G94"/>
    <mergeCell ref="H94:I94"/>
    <mergeCell ref="M94:N94"/>
    <mergeCell ref="O94:P94"/>
    <mergeCell ref="H98:I98"/>
    <mergeCell ref="M98:N98"/>
    <mergeCell ref="O98:P98"/>
    <mergeCell ref="F96:G96"/>
    <mergeCell ref="H96:I96"/>
    <mergeCell ref="M96:N96"/>
    <mergeCell ref="O96:P96"/>
    <mergeCell ref="O97:P97"/>
    <mergeCell ref="H97:I97"/>
    <mergeCell ref="M97:N97"/>
  </mergeCells>
  <printOptions horizontalCentered="1"/>
  <pageMargins left="0.2" right="0.2" top="0.2" bottom="0.2" header="0" footer="0"/>
  <pageSetup paperSize="9" scale="50" fitToHeight="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1A4A92-7F88-482B-8627-EFB48B0AB0D8}">
  <sheetPr>
    <pageSetUpPr fitToPage="1"/>
  </sheetPr>
  <dimension ref="A1:T218"/>
  <sheetViews>
    <sheetView topLeftCell="B1" zoomScaleNormal="100" zoomScaleSheetLayoutView="80" workbookViewId="0">
      <selection activeCell="A207" sqref="A207:G207"/>
    </sheetView>
  </sheetViews>
  <sheetFormatPr defaultColWidth="9.28515625" defaultRowHeight="15"/>
  <cols>
    <col min="1" max="1" width="8.42578125" style="151" hidden="1" customWidth="1"/>
    <col min="2" max="2" width="5.28515625" style="147" customWidth="1"/>
    <col min="3" max="3" width="69.5703125" style="150" customWidth="1"/>
    <col min="4" max="4" width="9.7109375" style="147" bestFit="1" customWidth="1"/>
    <col min="5" max="5" width="13.28515625" style="147" bestFit="1" customWidth="1"/>
    <col min="6" max="6" width="16.28515625" style="147" bestFit="1" customWidth="1"/>
    <col min="7" max="7" width="12.85546875" style="149" bestFit="1" customWidth="1"/>
    <col min="8" max="8" width="21.42578125" style="148" bestFit="1" customWidth="1"/>
    <col min="9" max="9" width="11.7109375" style="147" bestFit="1" customWidth="1"/>
    <col min="10" max="10" width="16.28515625" style="147" bestFit="1" customWidth="1"/>
    <col min="11" max="11" width="23.28515625" style="147" customWidth="1"/>
    <col min="12" max="12" width="17.28515625" style="147" customWidth="1"/>
    <col min="13" max="13" width="15.7109375" style="147" customWidth="1"/>
    <col min="14" max="14" width="23.7109375" style="147" bestFit="1" customWidth="1"/>
    <col min="15" max="15" width="15.7109375" style="147" customWidth="1"/>
    <col min="16" max="16" width="10.42578125" style="147" customWidth="1"/>
    <col min="17" max="17" width="11" style="147" customWidth="1"/>
    <col min="18" max="16384" width="9.28515625" style="147"/>
  </cols>
  <sheetData>
    <row r="1" spans="1:20" ht="21" customHeight="1"/>
    <row r="2" spans="1:20" ht="15.75">
      <c r="B2" s="276" t="s">
        <v>317</v>
      </c>
      <c r="C2" s="277"/>
      <c r="D2" s="277"/>
      <c r="E2" s="277"/>
      <c r="F2" s="277"/>
      <c r="G2" s="278"/>
      <c r="H2" s="203" t="s">
        <v>318</v>
      </c>
      <c r="I2" s="153" t="s">
        <v>319</v>
      </c>
      <c r="J2" s="153" t="s">
        <v>320</v>
      </c>
    </row>
    <row r="3" spans="1:20" ht="15.75">
      <c r="B3" s="276" t="s">
        <v>321</v>
      </c>
      <c r="C3" s="277"/>
      <c r="D3" s="277"/>
      <c r="E3" s="277"/>
      <c r="F3" s="277"/>
      <c r="G3" s="278"/>
      <c r="H3" s="202" t="s">
        <v>322</v>
      </c>
      <c r="I3" s="155"/>
      <c r="J3" s="155"/>
    </row>
    <row r="4" spans="1:20" ht="12.75" customHeight="1">
      <c r="B4" s="157"/>
      <c r="C4" s="201"/>
      <c r="D4" s="157"/>
      <c r="E4" s="157"/>
      <c r="F4" s="157"/>
      <c r="H4" s="200"/>
      <c r="I4" s="151"/>
      <c r="T4"/>
    </row>
    <row r="5" spans="1:20" ht="15.75">
      <c r="B5" s="279" t="s">
        <v>323</v>
      </c>
      <c r="C5" s="279"/>
      <c r="D5" s="280" t="s">
        <v>324</v>
      </c>
      <c r="E5" s="280"/>
      <c r="F5" s="261" t="s">
        <v>325</v>
      </c>
      <c r="G5" s="262"/>
      <c r="H5" s="199" t="s">
        <v>326</v>
      </c>
      <c r="I5" s="42"/>
      <c r="J5" s="42"/>
      <c r="M5" s="156" t="s">
        <v>327</v>
      </c>
      <c r="N5" s="156"/>
      <c r="O5" s="198">
        <v>21</v>
      </c>
      <c r="P5" s="198">
        <v>8</v>
      </c>
      <c r="Q5" s="198">
        <v>2024</v>
      </c>
    </row>
    <row r="6" spans="1:20" ht="24.75" customHeight="1">
      <c r="B6" s="279"/>
      <c r="C6" s="279"/>
      <c r="D6" s="259"/>
      <c r="E6" s="260"/>
      <c r="F6" s="261"/>
      <c r="G6" s="262"/>
      <c r="H6" s="199"/>
      <c r="I6" s="42"/>
      <c r="J6" s="42"/>
      <c r="M6" s="255" t="s">
        <v>328</v>
      </c>
      <c r="N6" s="255"/>
      <c r="O6" s="198">
        <v>21</v>
      </c>
      <c r="P6" s="198">
        <v>8</v>
      </c>
      <c r="Q6" s="198">
        <v>2024</v>
      </c>
    </row>
    <row r="7" spans="1:20" ht="9" customHeight="1">
      <c r="B7" s="152"/>
      <c r="C7" s="197"/>
      <c r="D7" s="152"/>
      <c r="E7" s="193"/>
      <c r="F7" s="193"/>
      <c r="G7" s="196"/>
      <c r="H7" s="195"/>
      <c r="I7" s="194"/>
      <c r="M7" s="193"/>
      <c r="N7" s="193"/>
      <c r="O7" s="152"/>
      <c r="P7" s="152"/>
      <c r="Q7" s="152"/>
    </row>
    <row r="8" spans="1:20">
      <c r="B8" s="252" t="s">
        <v>329</v>
      </c>
      <c r="C8" s="252"/>
      <c r="D8" s="252"/>
      <c r="E8" s="252"/>
      <c r="F8" s="252"/>
      <c r="G8" s="252"/>
      <c r="H8" s="252"/>
      <c r="I8" s="252"/>
      <c r="J8" s="252"/>
      <c r="K8" s="252"/>
      <c r="L8" s="252"/>
      <c r="M8" s="252"/>
      <c r="N8" s="252"/>
      <c r="O8" s="252"/>
      <c r="P8" s="252"/>
      <c r="Q8" s="252"/>
    </row>
    <row r="10" spans="1:20" ht="15" customHeight="1">
      <c r="B10" s="281" t="s">
        <v>84</v>
      </c>
      <c r="C10" s="282" t="s">
        <v>330</v>
      </c>
      <c r="D10" s="267" t="s">
        <v>331</v>
      </c>
      <c r="E10" s="267" t="s">
        <v>332</v>
      </c>
      <c r="F10" s="267" t="s">
        <v>333</v>
      </c>
      <c r="G10" s="268" t="s">
        <v>334</v>
      </c>
      <c r="H10" s="269" t="s">
        <v>335</v>
      </c>
      <c r="I10" s="270" t="s">
        <v>336</v>
      </c>
      <c r="J10" s="271"/>
      <c r="K10" s="271"/>
      <c r="L10" s="271"/>
      <c r="M10" s="271"/>
      <c r="N10" s="271"/>
      <c r="O10" s="272"/>
      <c r="P10" s="267" t="s">
        <v>337</v>
      </c>
      <c r="Q10" s="267"/>
    </row>
    <row r="11" spans="1:20" ht="25.5" customHeight="1">
      <c r="B11" s="281"/>
      <c r="C11" s="282"/>
      <c r="D11" s="267"/>
      <c r="E11" s="267"/>
      <c r="F11" s="267"/>
      <c r="G11" s="268"/>
      <c r="H11" s="269"/>
      <c r="I11" s="273" t="s">
        <v>338</v>
      </c>
      <c r="J11" s="192" t="s">
        <v>339</v>
      </c>
      <c r="K11" s="192" t="s">
        <v>340</v>
      </c>
      <c r="L11" s="192" t="s">
        <v>341</v>
      </c>
      <c r="M11" s="192" t="s">
        <v>342</v>
      </c>
      <c r="N11" s="192" t="s">
        <v>343</v>
      </c>
      <c r="O11" s="192" t="s">
        <v>344</v>
      </c>
      <c r="P11" s="263" t="s">
        <v>345</v>
      </c>
      <c r="Q11" s="264"/>
    </row>
    <row r="12" spans="1:20" ht="25.5" customHeight="1">
      <c r="B12" s="281"/>
      <c r="C12" s="282"/>
      <c r="D12" s="267"/>
      <c r="E12" s="267"/>
      <c r="F12" s="267"/>
      <c r="G12" s="268"/>
      <c r="H12" s="269"/>
      <c r="I12" s="273"/>
      <c r="J12" s="192" t="s">
        <v>346</v>
      </c>
      <c r="K12" s="192" t="s">
        <v>347</v>
      </c>
      <c r="L12" s="192" t="s">
        <v>348</v>
      </c>
      <c r="M12" s="192" t="s">
        <v>349</v>
      </c>
      <c r="N12" s="192" t="s">
        <v>350</v>
      </c>
      <c r="O12" s="192" t="s">
        <v>351</v>
      </c>
      <c r="P12" s="265"/>
      <c r="Q12" s="266"/>
    </row>
    <row r="13" spans="1:20" ht="60">
      <c r="A13" s="185" t="s">
        <v>352</v>
      </c>
      <c r="B13" s="146">
        <v>1</v>
      </c>
      <c r="C13" s="176" t="s">
        <v>353</v>
      </c>
      <c r="D13" s="175" t="s">
        <v>126</v>
      </c>
      <c r="E13" s="191">
        <f>BOQ!M14</f>
        <v>385.88787500000007</v>
      </c>
      <c r="F13" s="175"/>
      <c r="G13" s="174">
        <f>[1]BOQ!H14</f>
        <v>350</v>
      </c>
      <c r="H13" s="173">
        <f>G13*E13</f>
        <v>135060.75625000003</v>
      </c>
      <c r="I13" s="153"/>
      <c r="J13" s="153"/>
      <c r="K13" s="153"/>
      <c r="L13" s="153"/>
      <c r="M13" s="153"/>
      <c r="N13" s="167"/>
      <c r="O13" s="153"/>
      <c r="P13" s="187"/>
      <c r="Q13" s="186"/>
    </row>
    <row r="14" spans="1:20" ht="45">
      <c r="A14" s="185" t="s">
        <v>352</v>
      </c>
      <c r="B14" s="146">
        <v>2</v>
      </c>
      <c r="C14" s="176" t="s">
        <v>354</v>
      </c>
      <c r="D14" s="175" t="s">
        <v>126</v>
      </c>
      <c r="E14" s="173">
        <f>BOQ!M18</f>
        <v>87.417625000000015</v>
      </c>
      <c r="F14" s="175"/>
      <c r="G14" s="174">
        <v>1000</v>
      </c>
      <c r="H14" s="173">
        <f t="shared" ref="H14:H77" si="0">G14*E14</f>
        <v>87417.625000000015</v>
      </c>
      <c r="I14" s="153"/>
      <c r="J14" s="153"/>
      <c r="K14" s="153"/>
      <c r="L14" s="153"/>
      <c r="M14" s="153"/>
      <c r="N14" s="167"/>
      <c r="O14" s="153"/>
      <c r="P14" s="187"/>
      <c r="Q14" s="186"/>
    </row>
    <row r="15" spans="1:20" ht="60">
      <c r="A15" s="185" t="s">
        <v>352</v>
      </c>
      <c r="B15" s="146">
        <v>3</v>
      </c>
      <c r="C15" s="176" t="s">
        <v>355</v>
      </c>
      <c r="D15" s="175" t="s">
        <v>88</v>
      </c>
      <c r="E15" s="190">
        <v>1</v>
      </c>
      <c r="F15" s="175"/>
      <c r="G15" s="189">
        <f>BOQ!N20</f>
        <v>26214.225549999901</v>
      </c>
      <c r="H15" s="173">
        <f t="shared" si="0"/>
        <v>26214.225549999901</v>
      </c>
      <c r="I15" s="188"/>
      <c r="J15" s="188"/>
      <c r="K15" s="153"/>
      <c r="L15" s="153"/>
      <c r="M15" s="153"/>
      <c r="N15" s="167"/>
      <c r="O15" s="153"/>
      <c r="P15" s="187"/>
      <c r="Q15" s="186"/>
    </row>
    <row r="16" spans="1:20" ht="30">
      <c r="A16" s="155">
        <f>BOQ!C23</f>
        <v>4.01</v>
      </c>
      <c r="B16" s="146">
        <v>4</v>
      </c>
      <c r="C16" s="176" t="s">
        <v>356</v>
      </c>
      <c r="D16" s="175" t="s">
        <v>14</v>
      </c>
      <c r="E16" s="173">
        <f>BOQ!G23</f>
        <v>0</v>
      </c>
      <c r="F16" s="175"/>
      <c r="G16" s="174">
        <f>[1]BOQ!H23</f>
        <v>500</v>
      </c>
      <c r="H16" s="173">
        <f t="shared" si="0"/>
        <v>0</v>
      </c>
      <c r="I16" s="153"/>
      <c r="J16" s="153"/>
      <c r="K16" s="153"/>
      <c r="L16" s="153"/>
      <c r="M16" s="153"/>
      <c r="N16" s="167"/>
      <c r="O16" s="153"/>
      <c r="P16" s="187"/>
      <c r="Q16" s="186"/>
    </row>
    <row r="17" spans="1:17" ht="15.75">
      <c r="A17" s="185" t="s">
        <v>352</v>
      </c>
      <c r="B17" s="146">
        <v>5</v>
      </c>
      <c r="C17" s="176" t="s">
        <v>357</v>
      </c>
      <c r="D17" s="175" t="s">
        <v>14</v>
      </c>
      <c r="E17" s="173">
        <f>BOQ!M15</f>
        <v>16.013579500000002</v>
      </c>
      <c r="F17" s="175"/>
      <c r="G17" s="174">
        <v>800</v>
      </c>
      <c r="H17" s="173">
        <f t="shared" si="0"/>
        <v>12810.863600000002</v>
      </c>
      <c r="I17" s="165"/>
      <c r="J17" s="155"/>
      <c r="K17" s="155"/>
      <c r="L17" s="172"/>
      <c r="M17" s="170"/>
      <c r="N17" s="171"/>
      <c r="O17" s="170"/>
      <c r="P17" s="169"/>
      <c r="Q17" s="168"/>
    </row>
    <row r="18" spans="1:17" ht="30">
      <c r="A18" s="185" t="s">
        <v>352</v>
      </c>
      <c r="B18" s="146">
        <v>6</v>
      </c>
      <c r="C18" s="176" t="s">
        <v>358</v>
      </c>
      <c r="D18" s="175" t="s">
        <v>14</v>
      </c>
      <c r="E18" s="173">
        <f>BOQ!M19</f>
        <v>23.002955000000004</v>
      </c>
      <c r="F18" s="175"/>
      <c r="G18" s="174">
        <v>800</v>
      </c>
      <c r="H18" s="173">
        <f t="shared" si="0"/>
        <v>18402.364000000001</v>
      </c>
      <c r="I18" s="165"/>
      <c r="J18" s="155"/>
      <c r="K18" s="155"/>
      <c r="L18" s="172"/>
      <c r="M18" s="170"/>
      <c r="N18" s="171"/>
      <c r="O18" s="170"/>
      <c r="P18" s="169"/>
      <c r="Q18" s="168"/>
    </row>
    <row r="19" spans="1:17" ht="15.75">
      <c r="A19" s="155">
        <f>BOQ!C31</f>
        <v>5.01</v>
      </c>
      <c r="B19" s="146">
        <v>7</v>
      </c>
      <c r="C19" s="176" t="s">
        <v>359</v>
      </c>
      <c r="D19" s="175" t="s">
        <v>172</v>
      </c>
      <c r="E19" s="173">
        <f>BOQ!G31</f>
        <v>5002.920000000001</v>
      </c>
      <c r="F19" s="175"/>
      <c r="G19" s="174">
        <v>3.5</v>
      </c>
      <c r="H19" s="173">
        <f t="shared" si="0"/>
        <v>17510.220000000005</v>
      </c>
      <c r="I19" s="165"/>
      <c r="J19" s="155"/>
      <c r="K19" s="155"/>
      <c r="L19" s="172"/>
      <c r="M19" s="170"/>
      <c r="N19" s="171"/>
      <c r="O19" s="170"/>
      <c r="P19" s="169"/>
      <c r="Q19" s="168"/>
    </row>
    <row r="20" spans="1:17" ht="15.75">
      <c r="A20" s="185" t="s">
        <v>352</v>
      </c>
      <c r="B20" s="146">
        <v>8</v>
      </c>
      <c r="C20" s="176" t="s">
        <v>360</v>
      </c>
      <c r="D20" s="175" t="s">
        <v>146</v>
      </c>
      <c r="E20" s="173">
        <f>BOQ!M16</f>
        <v>14338.557600000002</v>
      </c>
      <c r="F20" s="175"/>
      <c r="G20" s="174">
        <v>6</v>
      </c>
      <c r="H20" s="173">
        <f t="shared" si="0"/>
        <v>86031.345600000015</v>
      </c>
      <c r="I20" s="165"/>
      <c r="J20" s="155"/>
      <c r="K20" s="155"/>
      <c r="L20" s="172"/>
      <c r="M20" s="170"/>
      <c r="N20" s="171"/>
      <c r="O20" s="170"/>
      <c r="P20" s="169"/>
      <c r="Q20" s="168"/>
    </row>
    <row r="21" spans="1:17" ht="15.75">
      <c r="A21" s="185" t="s">
        <v>352</v>
      </c>
      <c r="B21" s="146">
        <v>9</v>
      </c>
      <c r="C21" s="176" t="s">
        <v>361</v>
      </c>
      <c r="D21" s="175" t="s">
        <v>362</v>
      </c>
      <c r="E21" s="173">
        <f>BOQ!M17</f>
        <v>5153.5348000000013</v>
      </c>
      <c r="F21" s="175"/>
      <c r="G21" s="174">
        <v>0</v>
      </c>
      <c r="H21" s="173">
        <f t="shared" si="0"/>
        <v>0</v>
      </c>
      <c r="I21" s="165"/>
      <c r="J21" s="155"/>
      <c r="K21" s="155"/>
      <c r="L21" s="172"/>
      <c r="M21" s="170"/>
      <c r="N21" s="171"/>
      <c r="O21" s="170"/>
      <c r="P21" s="169"/>
      <c r="Q21" s="168"/>
    </row>
    <row r="22" spans="1:17" ht="15.75">
      <c r="A22" s="185" t="s">
        <v>352</v>
      </c>
      <c r="B22" s="146">
        <v>10</v>
      </c>
      <c r="C22" s="176" t="s">
        <v>363</v>
      </c>
      <c r="D22" s="175" t="s">
        <v>11</v>
      </c>
      <c r="E22" s="173">
        <f>ESTIMATIONS!G101</f>
        <v>18.900000000000002</v>
      </c>
      <c r="F22" s="175"/>
      <c r="G22" s="174">
        <v>240</v>
      </c>
      <c r="H22" s="173">
        <f t="shared" si="0"/>
        <v>4536.0000000000009</v>
      </c>
      <c r="I22" s="165"/>
      <c r="J22" s="155"/>
      <c r="K22" s="155"/>
      <c r="L22" s="172"/>
      <c r="M22" s="170"/>
      <c r="N22" s="171"/>
      <c r="O22" s="170"/>
      <c r="P22" s="169"/>
      <c r="Q22" s="168"/>
    </row>
    <row r="23" spans="1:17" ht="15.75">
      <c r="A23" s="185" t="s">
        <v>352</v>
      </c>
      <c r="B23" s="146">
        <v>11</v>
      </c>
      <c r="C23" s="176" t="s">
        <v>364</v>
      </c>
      <c r="D23" s="175" t="s">
        <v>11</v>
      </c>
      <c r="E23" s="173">
        <f>ESTIMATIONS!G102</f>
        <v>9</v>
      </c>
      <c r="F23" s="175"/>
      <c r="G23" s="174">
        <v>240</v>
      </c>
      <c r="H23" s="173">
        <f t="shared" si="0"/>
        <v>2160</v>
      </c>
      <c r="I23" s="165"/>
      <c r="J23" s="155"/>
      <c r="K23" s="155"/>
      <c r="L23" s="172"/>
      <c r="M23" s="170"/>
      <c r="N23" s="171"/>
      <c r="O23" s="170"/>
      <c r="P23" s="169"/>
      <c r="Q23" s="168"/>
    </row>
    <row r="24" spans="1:17" ht="15.75">
      <c r="A24" s="185" t="s">
        <v>352</v>
      </c>
      <c r="B24" s="146">
        <v>12</v>
      </c>
      <c r="C24" s="176" t="s">
        <v>365</v>
      </c>
      <c r="D24" s="175" t="s">
        <v>11</v>
      </c>
      <c r="E24" s="173">
        <v>0</v>
      </c>
      <c r="F24" s="175"/>
      <c r="G24" s="174">
        <v>240</v>
      </c>
      <c r="H24" s="173">
        <f t="shared" si="0"/>
        <v>0</v>
      </c>
      <c r="I24" s="165"/>
      <c r="J24" s="155"/>
      <c r="K24" s="155"/>
      <c r="L24" s="172"/>
      <c r="M24" s="170"/>
      <c r="N24" s="171"/>
      <c r="O24" s="170"/>
      <c r="P24" s="169"/>
      <c r="Q24" s="168"/>
    </row>
    <row r="25" spans="1:17" ht="30">
      <c r="A25" s="185"/>
      <c r="B25" s="146">
        <v>13</v>
      </c>
      <c r="C25" s="176" t="s">
        <v>366</v>
      </c>
      <c r="D25" s="175" t="s">
        <v>11</v>
      </c>
      <c r="E25" s="173">
        <f>ESTIMATIONS!G50</f>
        <v>0</v>
      </c>
      <c r="F25" s="175"/>
      <c r="G25" s="174">
        <v>240</v>
      </c>
      <c r="H25" s="173">
        <f t="shared" si="0"/>
        <v>0</v>
      </c>
      <c r="I25" s="165"/>
      <c r="J25" s="155"/>
      <c r="K25" s="155"/>
      <c r="L25" s="172"/>
      <c r="M25" s="170"/>
      <c r="N25" s="171"/>
      <c r="O25" s="170"/>
      <c r="P25" s="169"/>
      <c r="Q25" s="168"/>
    </row>
    <row r="26" spans="1:17" ht="30">
      <c r="A26" s="185" t="s">
        <v>352</v>
      </c>
      <c r="B26" s="146">
        <v>14</v>
      </c>
      <c r="C26" s="176" t="s">
        <v>367</v>
      </c>
      <c r="D26" s="175" t="s">
        <v>146</v>
      </c>
      <c r="E26" s="173">
        <f>BOQ!G47+BOQ!G48+BOQ!G49+BOQ!G50</f>
        <v>2350</v>
      </c>
      <c r="F26" s="175"/>
      <c r="G26" s="174">
        <f>BOQ!I47</f>
        <v>55</v>
      </c>
      <c r="H26" s="173">
        <f t="shared" si="0"/>
        <v>129250</v>
      </c>
      <c r="I26" s="165"/>
      <c r="J26" s="155"/>
      <c r="K26" s="155"/>
      <c r="L26" s="172"/>
      <c r="M26" s="170"/>
      <c r="N26" s="171"/>
      <c r="O26" s="170"/>
      <c r="P26" s="169"/>
      <c r="Q26" s="168"/>
    </row>
    <row r="27" spans="1:17" ht="15.75">
      <c r="A27" s="155">
        <f>BOQ!C51</f>
        <v>7.0499999999999989</v>
      </c>
      <c r="B27" s="146">
        <v>15</v>
      </c>
      <c r="C27" s="176" t="str">
        <f>BOQ!F51</f>
        <v>Wire 1 mm</v>
      </c>
      <c r="D27" s="175" t="str">
        <f>BOQ!H51</f>
        <v>kg</v>
      </c>
      <c r="E27" s="173">
        <f>BOQ!G51</f>
        <v>17</v>
      </c>
      <c r="F27" s="175"/>
      <c r="G27" s="174">
        <f>BOQ!I51</f>
        <v>60</v>
      </c>
      <c r="H27" s="173">
        <f t="shared" si="0"/>
        <v>1020</v>
      </c>
      <c r="I27" s="165"/>
      <c r="J27" s="155"/>
      <c r="K27" s="155"/>
      <c r="L27" s="172"/>
      <c r="M27" s="170"/>
      <c r="N27" s="171"/>
      <c r="O27" s="170"/>
      <c r="P27" s="169"/>
      <c r="Q27" s="168"/>
    </row>
    <row r="28" spans="1:17" ht="15.75">
      <c r="A28" s="155">
        <f>BOQ!C52</f>
        <v>7.0599999999999987</v>
      </c>
      <c r="B28" s="146">
        <v>16</v>
      </c>
      <c r="C28" s="176" t="str">
        <f>BOQ!F52</f>
        <v>Steel gate for valvebox door</v>
      </c>
      <c r="D28" s="175" t="str">
        <f>BOQ!H52</f>
        <v>kg</v>
      </c>
      <c r="E28" s="173">
        <f>BOQ!G52</f>
        <v>20</v>
      </c>
      <c r="F28" s="175"/>
      <c r="G28" s="174">
        <f>BOQ!I52</f>
        <v>90</v>
      </c>
      <c r="H28" s="173">
        <f t="shared" si="0"/>
        <v>1800</v>
      </c>
      <c r="I28" s="165"/>
      <c r="J28" s="155"/>
      <c r="K28" s="155"/>
      <c r="L28" s="172"/>
      <c r="M28" s="170"/>
      <c r="N28" s="171"/>
      <c r="O28" s="170"/>
      <c r="P28" s="169"/>
      <c r="Q28" s="168"/>
    </row>
    <row r="29" spans="1:17" ht="15.75">
      <c r="A29" s="155">
        <f>BOQ!C53</f>
        <v>7.0699999999999985</v>
      </c>
      <c r="B29" s="146">
        <v>17</v>
      </c>
      <c r="C29" s="176" t="str">
        <f>BOQ!F53</f>
        <v>GI pipe diameter 1" for vertical part of stair</v>
      </c>
      <c r="D29" s="175" t="str">
        <f>BOQ!H53</f>
        <v>kg</v>
      </c>
      <c r="E29" s="173">
        <f>BOQ!G53</f>
        <v>48.6</v>
      </c>
      <c r="F29" s="175"/>
      <c r="G29" s="174">
        <f>BOQ!I53</f>
        <v>180</v>
      </c>
      <c r="H29" s="173">
        <f t="shared" si="0"/>
        <v>8748</v>
      </c>
      <c r="I29" s="165"/>
      <c r="J29" s="155"/>
      <c r="K29" s="155"/>
      <c r="L29" s="172"/>
      <c r="M29" s="170"/>
      <c r="N29" s="171"/>
      <c r="O29" s="170"/>
      <c r="P29" s="169"/>
      <c r="Q29" s="168"/>
    </row>
    <row r="30" spans="1:17" ht="15.75">
      <c r="A30" s="155">
        <f>BOQ!C54</f>
        <v>7.0799999999999983</v>
      </c>
      <c r="B30" s="146">
        <v>18</v>
      </c>
      <c r="C30" s="176" t="str">
        <f>BOQ!F54</f>
        <v>GI pipe diameter 0.75" for hand rail</v>
      </c>
      <c r="D30" s="175" t="str">
        <f>BOQ!H54</f>
        <v>kg</v>
      </c>
      <c r="E30" s="173">
        <f>BOQ!G54</f>
        <v>35.699999999999996</v>
      </c>
      <c r="F30" s="175"/>
      <c r="G30" s="174">
        <f>BOQ!I54</f>
        <v>150</v>
      </c>
      <c r="H30" s="173">
        <f t="shared" si="0"/>
        <v>5354.9999999999991</v>
      </c>
      <c r="I30" s="165"/>
      <c r="J30" s="155"/>
      <c r="K30" s="155"/>
      <c r="L30" s="172"/>
      <c r="M30" s="170"/>
      <c r="N30" s="171"/>
      <c r="O30" s="170"/>
      <c r="P30" s="169"/>
      <c r="Q30" s="168"/>
    </row>
    <row r="31" spans="1:17" ht="15.75">
      <c r="A31" s="155">
        <f>BOQ!C55</f>
        <v>7.0899999999999981</v>
      </c>
      <c r="B31" s="146">
        <v>19</v>
      </c>
      <c r="C31" s="176" t="str">
        <f>BOQ!F55</f>
        <v>Iron porfile 4X4 cm</v>
      </c>
      <c r="D31" s="175" t="str">
        <f>BOQ!H55</f>
        <v>m</v>
      </c>
      <c r="E31" s="173">
        <f>BOQ!G55</f>
        <v>24</v>
      </c>
      <c r="F31" s="175"/>
      <c r="G31" s="174">
        <f>BOQ!I55</f>
        <v>150</v>
      </c>
      <c r="H31" s="173">
        <f t="shared" si="0"/>
        <v>3600</v>
      </c>
      <c r="I31" s="165"/>
      <c r="J31" s="155"/>
      <c r="K31" s="155"/>
      <c r="L31" s="172"/>
      <c r="M31" s="170"/>
      <c r="N31" s="171"/>
      <c r="O31" s="170"/>
      <c r="P31" s="169"/>
      <c r="Q31" s="168"/>
    </row>
    <row r="32" spans="1:17" ht="15.75">
      <c r="A32" s="181">
        <f>BOQ!C56</f>
        <v>7.0999999999999979</v>
      </c>
      <c r="B32" s="146">
        <v>20</v>
      </c>
      <c r="C32" s="176" t="str">
        <f>BOQ!F56</f>
        <v>Iron porfile 3X3 cm</v>
      </c>
      <c r="D32" s="175" t="str">
        <f>BOQ!H56</f>
        <v>m</v>
      </c>
      <c r="E32" s="173">
        <f>BOQ!G56</f>
        <v>35.1</v>
      </c>
      <c r="F32" s="175"/>
      <c r="G32" s="174">
        <f>BOQ!I56</f>
        <v>100</v>
      </c>
      <c r="H32" s="173">
        <f t="shared" si="0"/>
        <v>3510</v>
      </c>
      <c r="I32" s="165"/>
      <c r="J32" s="155"/>
      <c r="K32" s="155"/>
      <c r="L32" s="172"/>
      <c r="M32" s="170"/>
      <c r="N32" s="171"/>
      <c r="O32" s="170"/>
      <c r="P32" s="169"/>
      <c r="Q32" s="168"/>
    </row>
    <row r="33" spans="1:17" ht="15.75">
      <c r="A33" s="155">
        <f>BOQ!C57</f>
        <v>7.1099999999999977</v>
      </c>
      <c r="B33" s="146">
        <v>21</v>
      </c>
      <c r="C33" s="176" t="str">
        <f>BOQ!F57</f>
        <v>Water stopper for reservoir</v>
      </c>
      <c r="D33" s="175" t="str">
        <f>BOQ!H57</f>
        <v>no</v>
      </c>
      <c r="E33" s="173">
        <f>BOQ!G57</f>
        <v>12</v>
      </c>
      <c r="F33" s="175"/>
      <c r="G33" s="174">
        <f>BOQ!I57</f>
        <v>100</v>
      </c>
      <c r="H33" s="173">
        <f t="shared" si="0"/>
        <v>1200</v>
      </c>
      <c r="I33" s="165"/>
      <c r="J33" s="155"/>
      <c r="K33" s="155"/>
      <c r="L33" s="172"/>
      <c r="M33" s="170"/>
      <c r="N33" s="171"/>
      <c r="O33" s="170"/>
      <c r="P33" s="169"/>
      <c r="Q33" s="168"/>
    </row>
    <row r="34" spans="1:17" ht="30">
      <c r="A34" s="155">
        <f>BOQ!C70</f>
        <v>9.01</v>
      </c>
      <c r="B34" s="146">
        <v>22</v>
      </c>
      <c r="C34" s="176" t="s">
        <v>368</v>
      </c>
      <c r="D34" s="183" t="s">
        <v>84</v>
      </c>
      <c r="E34" s="184">
        <f>BOQ!G70</f>
        <v>0</v>
      </c>
      <c r="F34" s="183"/>
      <c r="G34" s="182">
        <v>350</v>
      </c>
      <c r="H34" s="173">
        <f t="shared" si="0"/>
        <v>0</v>
      </c>
      <c r="I34" s="165"/>
      <c r="J34" s="155"/>
      <c r="K34" s="155"/>
      <c r="L34" s="172"/>
      <c r="M34" s="170"/>
      <c r="N34" s="171"/>
      <c r="O34" s="170"/>
      <c r="P34" s="169"/>
      <c r="Q34" s="168"/>
    </row>
    <row r="35" spans="1:17" ht="30">
      <c r="A35" s="155">
        <f>BOQ!C71</f>
        <v>9.02</v>
      </c>
      <c r="B35" s="146">
        <v>23</v>
      </c>
      <c r="C35" s="176" t="s">
        <v>369</v>
      </c>
      <c r="D35" s="183" t="s">
        <v>84</v>
      </c>
      <c r="E35" s="184">
        <f>BOQ!G71</f>
        <v>0</v>
      </c>
      <c r="F35" s="183"/>
      <c r="G35" s="182">
        <v>1000</v>
      </c>
      <c r="H35" s="173">
        <f t="shared" si="0"/>
        <v>0</v>
      </c>
      <c r="I35" s="165"/>
      <c r="J35" s="155"/>
      <c r="K35" s="155"/>
      <c r="L35" s="172"/>
      <c r="M35" s="170"/>
      <c r="N35" s="171"/>
      <c r="O35" s="170"/>
      <c r="P35" s="169"/>
      <c r="Q35" s="168"/>
    </row>
    <row r="36" spans="1:17" ht="15.75">
      <c r="A36" s="155">
        <f>BOQ!C73</f>
        <v>10.01</v>
      </c>
      <c r="B36" s="146">
        <v>24</v>
      </c>
      <c r="C36" s="176" t="s">
        <v>370</v>
      </c>
      <c r="D36" s="183" t="s">
        <v>11</v>
      </c>
      <c r="E36" s="184">
        <f>BOQ!G73</f>
        <v>136.82</v>
      </c>
      <c r="F36" s="183"/>
      <c r="G36" s="182">
        <f>BOQ!I73</f>
        <v>250</v>
      </c>
      <c r="H36" s="173">
        <f>G36*E36</f>
        <v>34205</v>
      </c>
      <c r="I36" s="165"/>
      <c r="J36" s="155"/>
      <c r="K36" s="155"/>
      <c r="L36" s="172"/>
      <c r="M36" s="170"/>
      <c r="N36" s="171"/>
      <c r="O36" s="170"/>
      <c r="P36" s="169"/>
      <c r="Q36" s="168"/>
    </row>
    <row r="37" spans="1:17" ht="30">
      <c r="A37" s="155">
        <f>BOQ!C91</f>
        <v>13.01</v>
      </c>
      <c r="B37" s="146">
        <v>25</v>
      </c>
      <c r="C37" s="176" t="str">
        <f>BOQ!F91</f>
        <v>Plastic color for exterior of RCC reservoir, WC1 internal walls and hand wash stations</v>
      </c>
      <c r="D37" s="175" t="str">
        <f>BOQ!H91</f>
        <v>m2</v>
      </c>
      <c r="E37" s="173">
        <f>BOQ!G91</f>
        <v>158.07999999999998</v>
      </c>
      <c r="F37" s="175"/>
      <c r="G37" s="174">
        <f>BOQ!I91</f>
        <v>170</v>
      </c>
      <c r="H37" s="173">
        <f>G37*E37</f>
        <v>26873.599999999999</v>
      </c>
      <c r="I37" s="165"/>
      <c r="J37" s="155"/>
      <c r="K37" s="155"/>
      <c r="L37" s="172"/>
      <c r="M37" s="170"/>
      <c r="N37" s="171"/>
      <c r="O37" s="170"/>
      <c r="P37" s="169"/>
      <c r="Q37" s="168"/>
    </row>
    <row r="38" spans="1:17" ht="15.75">
      <c r="A38" s="155">
        <f>BOQ!C92</f>
        <v>13.02</v>
      </c>
      <c r="B38" s="146">
        <v>26</v>
      </c>
      <c r="C38" s="176" t="str">
        <f>BOQ!F92</f>
        <v>Oil painting two layer for guard rail and gate doors</v>
      </c>
      <c r="D38" s="175" t="str">
        <f>BOQ!H92</f>
        <v>m2</v>
      </c>
      <c r="E38" s="173">
        <f>BOQ!G92</f>
        <v>16</v>
      </c>
      <c r="F38" s="175"/>
      <c r="G38" s="174">
        <f>BOQ!I92</f>
        <v>500</v>
      </c>
      <c r="H38" s="173">
        <f t="shared" si="0"/>
        <v>8000</v>
      </c>
      <c r="I38" s="165"/>
      <c r="J38" s="155"/>
      <c r="K38" s="155"/>
      <c r="L38" s="172"/>
      <c r="M38" s="170"/>
      <c r="N38" s="171"/>
      <c r="O38" s="170"/>
      <c r="P38" s="169"/>
      <c r="Q38" s="168"/>
    </row>
    <row r="39" spans="1:17" ht="30">
      <c r="A39" s="181">
        <f>BOQ!C96</f>
        <v>14.01</v>
      </c>
      <c r="B39" s="146">
        <v>27</v>
      </c>
      <c r="C39" s="176" t="s">
        <v>371</v>
      </c>
      <c r="D39" s="175" t="s">
        <v>11</v>
      </c>
      <c r="E39" s="173">
        <f>BOQ!G96</f>
        <v>0</v>
      </c>
      <c r="F39" s="175"/>
      <c r="G39" s="174">
        <v>3150</v>
      </c>
      <c r="H39" s="173">
        <f t="shared" si="0"/>
        <v>0</v>
      </c>
      <c r="I39" s="165"/>
      <c r="J39" s="155"/>
      <c r="K39" s="155"/>
      <c r="L39" s="172"/>
      <c r="M39" s="170"/>
      <c r="N39" s="171"/>
      <c r="O39" s="170"/>
      <c r="P39" s="169"/>
      <c r="Q39" s="168"/>
    </row>
    <row r="40" spans="1:17" ht="30">
      <c r="A40" s="181">
        <f>BOQ!C97</f>
        <v>14.02</v>
      </c>
      <c r="B40" s="146">
        <v>28</v>
      </c>
      <c r="C40" s="176" t="s">
        <v>372</v>
      </c>
      <c r="D40" s="175" t="s">
        <v>11</v>
      </c>
      <c r="E40" s="173">
        <f>BOQ!G97</f>
        <v>0</v>
      </c>
      <c r="F40" s="175"/>
      <c r="G40" s="174">
        <v>2350</v>
      </c>
      <c r="H40" s="173">
        <f t="shared" si="0"/>
        <v>0</v>
      </c>
      <c r="I40" s="165"/>
      <c r="J40" s="155"/>
      <c r="K40" s="155"/>
      <c r="L40" s="172"/>
      <c r="M40" s="170"/>
      <c r="N40" s="171"/>
      <c r="O40" s="170"/>
      <c r="P40" s="169"/>
      <c r="Q40" s="168"/>
    </row>
    <row r="41" spans="1:17" ht="30">
      <c r="A41" s="155">
        <f>BOQ!C101</f>
        <v>15.01</v>
      </c>
      <c r="B41" s="146">
        <v>29</v>
      </c>
      <c r="C41" s="176" t="str">
        <f>BOQ!F101</f>
        <v>2000 Liter vertical water tank (high quality polyethylene 3 layer - made of Jalalabad)</v>
      </c>
      <c r="D41" s="175" t="str">
        <f>BOQ!H101</f>
        <v>No</v>
      </c>
      <c r="E41" s="173">
        <f>BOQ!G101</f>
        <v>0</v>
      </c>
      <c r="F41" s="178"/>
      <c r="G41" s="179">
        <f>BOQ!I101</f>
        <v>12000</v>
      </c>
      <c r="H41" s="173">
        <f t="shared" si="0"/>
        <v>0</v>
      </c>
      <c r="I41" s="165"/>
      <c r="J41" s="155"/>
      <c r="K41" s="155"/>
      <c r="L41" s="172"/>
      <c r="M41" s="170"/>
      <c r="N41" s="171"/>
      <c r="O41" s="170"/>
      <c r="P41" s="169"/>
      <c r="Q41" s="168"/>
    </row>
    <row r="42" spans="1:17" ht="15.75">
      <c r="A42" s="155">
        <f>BOQ!C102</f>
        <v>15.02</v>
      </c>
      <c r="B42" s="146">
        <v>30</v>
      </c>
      <c r="C42" s="176" t="str">
        <f>BOQ!F102</f>
        <v>500 Litre-horizontanl water tank (high-density polyethylene 5 layer Tanks)</v>
      </c>
      <c r="D42" s="175" t="str">
        <f>BOQ!H102</f>
        <v>No</v>
      </c>
      <c r="E42" s="173">
        <f>BOQ!G102</f>
        <v>0</v>
      </c>
      <c r="F42" s="178"/>
      <c r="G42" s="179">
        <f>BOQ!I102</f>
        <v>6500</v>
      </c>
      <c r="H42" s="173">
        <f t="shared" si="0"/>
        <v>0</v>
      </c>
      <c r="I42" s="165"/>
      <c r="J42" s="155"/>
      <c r="K42" s="155"/>
      <c r="L42" s="172"/>
      <c r="M42" s="170"/>
      <c r="N42" s="171"/>
      <c r="O42" s="170"/>
      <c r="P42" s="169"/>
      <c r="Q42" s="168"/>
    </row>
    <row r="43" spans="1:17" ht="15.75">
      <c r="A43" s="155">
        <f>BOQ!C103</f>
        <v>15.03</v>
      </c>
      <c r="B43" s="146">
        <v>31</v>
      </c>
      <c r="C43" s="176" t="str">
        <f>BOQ!F103</f>
        <v>Sun Water Boiler 200lit</v>
      </c>
      <c r="D43" s="175" t="str">
        <f>BOQ!H103</f>
        <v>No</v>
      </c>
      <c r="E43" s="173">
        <f>BOQ!G103</f>
        <v>0</v>
      </c>
      <c r="F43" s="178"/>
      <c r="G43" s="179">
        <f>BOQ!I103</f>
        <v>15000</v>
      </c>
      <c r="H43" s="173">
        <f t="shared" si="0"/>
        <v>0</v>
      </c>
      <c r="I43" s="165"/>
      <c r="J43" s="155"/>
      <c r="K43" s="155"/>
      <c r="L43" s="172"/>
      <c r="M43" s="170"/>
      <c r="N43" s="171"/>
      <c r="O43" s="170"/>
      <c r="P43" s="169"/>
      <c r="Q43" s="168"/>
    </row>
    <row r="44" spans="1:17" ht="15.75">
      <c r="A44" s="155">
        <f>BOQ!C104</f>
        <v>15.04</v>
      </c>
      <c r="B44" s="146">
        <v>32</v>
      </c>
      <c r="C44" s="176" t="str">
        <f>BOQ!F104</f>
        <v>Stand for water tank 500lit stainless steel (Fixed Structure) 2m height</v>
      </c>
      <c r="D44" s="175" t="str">
        <f>BOQ!H104</f>
        <v>set</v>
      </c>
      <c r="E44" s="173">
        <f>BOQ!G104</f>
        <v>0</v>
      </c>
      <c r="F44" s="178"/>
      <c r="G44" s="179">
        <f>BOQ!I104</f>
        <v>8000</v>
      </c>
      <c r="H44" s="173">
        <f t="shared" si="0"/>
        <v>0</v>
      </c>
      <c r="I44" s="165"/>
      <c r="J44" s="155"/>
      <c r="K44" s="155"/>
      <c r="L44" s="172"/>
      <c r="M44" s="170"/>
      <c r="N44" s="171"/>
      <c r="O44" s="170"/>
      <c r="P44" s="169"/>
      <c r="Q44" s="168"/>
    </row>
    <row r="45" spans="1:17" ht="30">
      <c r="A45" s="155">
        <f>BOQ!C105</f>
        <v>15.049999999999999</v>
      </c>
      <c r="B45" s="146">
        <v>33</v>
      </c>
      <c r="C45" s="176" t="str">
        <f>BOQ!F105</f>
        <v>Hand washing sinks with high quality brass lever faucet, mirror and accessories</v>
      </c>
      <c r="D45" s="175" t="str">
        <f>BOQ!H105</f>
        <v>Set</v>
      </c>
      <c r="E45" s="173">
        <f>BOQ!G105</f>
        <v>7</v>
      </c>
      <c r="F45" s="178"/>
      <c r="G45" s="179">
        <f>BOQ!I105</f>
        <v>1400</v>
      </c>
      <c r="H45" s="173">
        <f t="shared" si="0"/>
        <v>9800</v>
      </c>
      <c r="I45" s="165"/>
      <c r="J45" s="155"/>
      <c r="K45" s="155"/>
      <c r="L45" s="172"/>
      <c r="M45" s="170"/>
      <c r="N45" s="171"/>
      <c r="O45" s="170"/>
      <c r="P45" s="169"/>
      <c r="Q45" s="168"/>
    </row>
    <row r="46" spans="1:17" ht="15.75">
      <c r="A46" s="155">
        <f>BOQ!C106</f>
        <v>15.059999999999999</v>
      </c>
      <c r="B46" s="146">
        <v>34</v>
      </c>
      <c r="C46" s="176" t="str">
        <f>BOQ!F106</f>
        <v>Persian Toilet (size 58x46 cm, material : Ceramic)</v>
      </c>
      <c r="D46" s="175" t="str">
        <f>BOQ!H106</f>
        <v>pcs</v>
      </c>
      <c r="E46" s="173">
        <f>BOQ!G106</f>
        <v>0</v>
      </c>
      <c r="F46" s="178"/>
      <c r="G46" s="179">
        <f>BOQ!I106</f>
        <v>600</v>
      </c>
      <c r="H46" s="173">
        <f t="shared" si="0"/>
        <v>0</v>
      </c>
      <c r="I46" s="165"/>
      <c r="J46" s="155"/>
      <c r="K46" s="155"/>
      <c r="L46" s="172"/>
      <c r="M46" s="170"/>
      <c r="N46" s="171"/>
      <c r="O46" s="170"/>
      <c r="P46" s="169"/>
      <c r="Q46" s="168"/>
    </row>
    <row r="47" spans="1:17" ht="30">
      <c r="A47" s="155">
        <f>BOQ!C107</f>
        <v>15.069999999999999</v>
      </c>
      <c r="B47" s="146">
        <v>35</v>
      </c>
      <c r="C47" s="176" t="str">
        <f>BOQ!F107</f>
        <v>Western toilet (materials: porcelain/vitreous, ergonomic design, comfort height, elongated bowl, dual flush)</v>
      </c>
      <c r="D47" s="175" t="str">
        <f>BOQ!H107</f>
        <v>pcs</v>
      </c>
      <c r="E47" s="173">
        <f>BOQ!G107</f>
        <v>0</v>
      </c>
      <c r="F47" s="178"/>
      <c r="G47" s="179">
        <f>BOQ!I107</f>
        <v>4000</v>
      </c>
      <c r="H47" s="173">
        <f t="shared" si="0"/>
        <v>0</v>
      </c>
      <c r="I47" s="165"/>
      <c r="J47" s="155"/>
      <c r="K47" s="155"/>
      <c r="L47" s="172"/>
      <c r="M47" s="170"/>
      <c r="N47" s="171"/>
      <c r="O47" s="170"/>
      <c r="P47" s="169"/>
      <c r="Q47" s="168"/>
    </row>
    <row r="48" spans="1:17" ht="15.75">
      <c r="A48" s="155">
        <f>BOQ!C108</f>
        <v>15.079999999999998</v>
      </c>
      <c r="B48" s="146">
        <v>36</v>
      </c>
      <c r="C48" s="176" t="str">
        <f>BOQ!F108</f>
        <v>Floor Drain</v>
      </c>
      <c r="D48" s="175" t="str">
        <f>BOQ!H108</f>
        <v>pcs</v>
      </c>
      <c r="E48" s="173">
        <f>BOQ!G108</f>
        <v>0</v>
      </c>
      <c r="F48" s="178"/>
      <c r="G48" s="179">
        <f>BOQ!I108</f>
        <v>25</v>
      </c>
      <c r="H48" s="173">
        <f t="shared" si="0"/>
        <v>0</v>
      </c>
      <c r="I48" s="165"/>
      <c r="J48" s="155"/>
      <c r="K48" s="155"/>
      <c r="L48" s="172"/>
      <c r="M48" s="170"/>
      <c r="N48" s="171"/>
      <c r="O48" s="170"/>
      <c r="P48" s="169"/>
      <c r="Q48" s="168"/>
    </row>
    <row r="49" spans="1:17" ht="15.75">
      <c r="A49" s="155">
        <f>BOQ!C109</f>
        <v>15.089999999999998</v>
      </c>
      <c r="B49" s="146">
        <v>37</v>
      </c>
      <c r="C49" s="176" t="str">
        <f>BOQ!F109</f>
        <v>Brass Shutoff valve 0.5 inch</v>
      </c>
      <c r="D49" s="175" t="str">
        <f>BOQ!H109</f>
        <v>pcs</v>
      </c>
      <c r="E49" s="173">
        <f>BOQ!G109</f>
        <v>0</v>
      </c>
      <c r="F49" s="178"/>
      <c r="G49" s="179">
        <f>BOQ!I109</f>
        <v>150</v>
      </c>
      <c r="H49" s="173">
        <f t="shared" si="0"/>
        <v>0</v>
      </c>
      <c r="I49" s="165"/>
      <c r="J49" s="155"/>
      <c r="K49" s="155"/>
      <c r="L49" s="172"/>
      <c r="M49" s="170"/>
      <c r="N49" s="171"/>
      <c r="O49" s="170"/>
      <c r="P49" s="169"/>
      <c r="Q49" s="168"/>
    </row>
    <row r="50" spans="1:17" ht="15.75">
      <c r="A50" s="155">
        <f>BOQ!C110</f>
        <v>15.099999999999998</v>
      </c>
      <c r="B50" s="146">
        <v>38</v>
      </c>
      <c r="C50" s="176" t="str">
        <f>BOQ!F110</f>
        <v>Paper hunger for all toilets</v>
      </c>
      <c r="D50" s="175" t="str">
        <f>BOQ!H110</f>
        <v>No</v>
      </c>
      <c r="E50" s="173">
        <f>BOQ!G110</f>
        <v>0</v>
      </c>
      <c r="F50" s="178"/>
      <c r="G50" s="179">
        <f>BOQ!I110</f>
        <v>150</v>
      </c>
      <c r="H50" s="173">
        <f t="shared" si="0"/>
        <v>0</v>
      </c>
      <c r="I50" s="165"/>
      <c r="J50" s="155"/>
      <c r="K50" s="155"/>
      <c r="L50" s="172"/>
      <c r="M50" s="170"/>
      <c r="N50" s="171"/>
      <c r="O50" s="170"/>
      <c r="P50" s="169"/>
      <c r="Q50" s="168"/>
    </row>
    <row r="51" spans="1:17" ht="15.75">
      <c r="A51" s="155">
        <f>BOQ!C111</f>
        <v>15.109999999999998</v>
      </c>
      <c r="B51" s="146">
        <v>39</v>
      </c>
      <c r="C51" s="176" t="str">
        <f>BOQ!F111</f>
        <v>Wash pipe for toilets new toilets</v>
      </c>
      <c r="D51" s="175" t="str">
        <f>BOQ!H111</f>
        <v>set</v>
      </c>
      <c r="E51" s="173">
        <f>BOQ!G111</f>
        <v>3</v>
      </c>
      <c r="F51" s="178"/>
      <c r="G51" s="179">
        <f>BOQ!I111</f>
        <v>400</v>
      </c>
      <c r="H51" s="173">
        <f t="shared" si="0"/>
        <v>1200</v>
      </c>
      <c r="I51" s="165"/>
      <c r="J51" s="155"/>
      <c r="K51" s="155"/>
      <c r="L51" s="172"/>
      <c r="M51" s="170"/>
      <c r="N51" s="171"/>
      <c r="O51" s="170"/>
      <c r="P51" s="169"/>
      <c r="Q51" s="168"/>
    </row>
    <row r="52" spans="1:17" ht="15.75">
      <c r="A52" s="155">
        <f>BOQ!C112</f>
        <v>15.119999999999997</v>
      </c>
      <c r="B52" s="146">
        <v>40</v>
      </c>
      <c r="C52" s="176" t="str">
        <f>BOQ!F112</f>
        <v>Flush tank (Material plastic, white color, dual flush, 6 liters capacity)</v>
      </c>
      <c r="D52" s="175" t="str">
        <f>BOQ!H112</f>
        <v>No</v>
      </c>
      <c r="E52" s="173">
        <f>BOQ!G112</f>
        <v>2</v>
      </c>
      <c r="F52" s="178"/>
      <c r="G52" s="179">
        <f>BOQ!I112</f>
        <v>700</v>
      </c>
      <c r="H52" s="173">
        <f t="shared" si="0"/>
        <v>1400</v>
      </c>
      <c r="I52" s="165"/>
      <c r="J52" s="155"/>
      <c r="K52" s="155"/>
      <c r="L52" s="172"/>
      <c r="M52" s="170"/>
      <c r="N52" s="171"/>
      <c r="O52" s="170"/>
      <c r="P52" s="169"/>
      <c r="Q52" s="168"/>
    </row>
    <row r="53" spans="1:17" ht="15.75">
      <c r="A53" s="155">
        <f>BOQ!C113</f>
        <v>15.129999999999997</v>
      </c>
      <c r="B53" s="146">
        <v>41</v>
      </c>
      <c r="C53" s="176" t="str">
        <f>BOQ!F113</f>
        <v>Brass mix lever taps for Hand Washing Sinks</v>
      </c>
      <c r="D53" s="175" t="str">
        <f>BOQ!H113</f>
        <v>No</v>
      </c>
      <c r="E53" s="173">
        <f>BOQ!G113</f>
        <v>0</v>
      </c>
      <c r="F53" s="178"/>
      <c r="G53" s="179">
        <f>BOQ!I113</f>
        <v>800</v>
      </c>
      <c r="H53" s="173">
        <f t="shared" si="0"/>
        <v>0</v>
      </c>
      <c r="I53" s="165"/>
      <c r="J53" s="155"/>
      <c r="K53" s="155"/>
      <c r="L53" s="172"/>
      <c r="M53" s="170"/>
      <c r="N53" s="171"/>
      <c r="O53" s="170"/>
      <c r="P53" s="169"/>
      <c r="Q53" s="168"/>
    </row>
    <row r="54" spans="1:17" ht="15.75">
      <c r="A54" s="155">
        <f>BOQ!C114</f>
        <v>15.139999999999997</v>
      </c>
      <c r="B54" s="146">
        <v>42</v>
      </c>
      <c r="C54" s="176" t="str">
        <f>BOQ!F114</f>
        <v>Bath shower with accessories of shower</v>
      </c>
      <c r="D54" s="175" t="str">
        <f>BOQ!H114</f>
        <v>pcs</v>
      </c>
      <c r="E54" s="173">
        <f>BOQ!G114</f>
        <v>0</v>
      </c>
      <c r="F54" s="178"/>
      <c r="G54" s="179">
        <f>BOQ!I114</f>
        <v>800</v>
      </c>
      <c r="H54" s="173">
        <f t="shared" si="0"/>
        <v>0</v>
      </c>
      <c r="I54" s="165"/>
      <c r="J54" s="155"/>
      <c r="K54" s="155"/>
      <c r="L54" s="172"/>
      <c r="M54" s="170"/>
      <c r="N54" s="171"/>
      <c r="O54" s="170"/>
      <c r="P54" s="169"/>
      <c r="Q54" s="168"/>
    </row>
    <row r="55" spans="1:17" ht="30">
      <c r="A55" s="155">
        <f>BOQ!C115</f>
        <v>15.149999999999997</v>
      </c>
      <c r="B55" s="146">
        <v>43</v>
      </c>
      <c r="C55" s="176" t="str">
        <f>BOQ!F115</f>
        <v>R.O (Reverse osmosis water treatment equipment 50 Litre/hr) Made in Taiwan</v>
      </c>
      <c r="D55" s="175" t="str">
        <f>BOQ!H115</f>
        <v>No</v>
      </c>
      <c r="E55" s="173">
        <f>BOQ!G115</f>
        <v>5</v>
      </c>
      <c r="F55" s="178"/>
      <c r="G55" s="179">
        <f>BOQ!I115</f>
        <v>13000</v>
      </c>
      <c r="H55" s="173">
        <f t="shared" si="0"/>
        <v>65000</v>
      </c>
      <c r="I55" s="165"/>
      <c r="J55" s="155"/>
      <c r="K55" s="155"/>
      <c r="L55" s="172"/>
      <c r="M55" s="170"/>
      <c r="N55" s="171"/>
      <c r="O55" s="170"/>
      <c r="P55" s="169"/>
      <c r="Q55" s="168"/>
    </row>
    <row r="56" spans="1:17" ht="15.75">
      <c r="A56" s="155">
        <f>BOQ!C116</f>
        <v>15.159999999999997</v>
      </c>
      <c r="B56" s="146">
        <v>44</v>
      </c>
      <c r="C56" s="176" t="str">
        <f>BOQ!F116</f>
        <v>Trash bins</v>
      </c>
      <c r="D56" s="175" t="str">
        <f>BOQ!H116</f>
        <v>pcs</v>
      </c>
      <c r="E56" s="173">
        <f>BOQ!G116</f>
        <v>10</v>
      </c>
      <c r="F56" s="178"/>
      <c r="G56" s="179">
        <f>BOQ!I116</f>
        <v>700</v>
      </c>
      <c r="H56" s="173">
        <f t="shared" si="0"/>
        <v>7000</v>
      </c>
      <c r="I56" s="165"/>
      <c r="J56" s="155"/>
      <c r="K56" s="155"/>
      <c r="L56" s="172"/>
      <c r="M56" s="170"/>
      <c r="N56" s="171"/>
      <c r="O56" s="170"/>
      <c r="P56" s="169"/>
      <c r="Q56" s="168"/>
    </row>
    <row r="57" spans="1:17" ht="15.75">
      <c r="A57" s="155">
        <f>BOQ!C117</f>
        <v>15.169999999999996</v>
      </c>
      <c r="B57" s="146">
        <v>45</v>
      </c>
      <c r="C57" s="176" t="str">
        <f>BOQ!F117</f>
        <v>Large Trash Bins</v>
      </c>
      <c r="D57" s="175" t="str">
        <f>BOQ!H117</f>
        <v>pcs</v>
      </c>
      <c r="E57" s="173">
        <f>BOQ!G117</f>
        <v>1</v>
      </c>
      <c r="F57" s="178"/>
      <c r="G57" s="179">
        <f>BOQ!I117</f>
        <v>3000</v>
      </c>
      <c r="H57" s="173">
        <f t="shared" si="0"/>
        <v>3000</v>
      </c>
      <c r="I57" s="165"/>
      <c r="J57" s="155"/>
      <c r="K57" s="155"/>
      <c r="L57" s="172"/>
      <c r="M57" s="170"/>
      <c r="N57" s="171"/>
      <c r="O57" s="170"/>
      <c r="P57" s="169"/>
      <c r="Q57" s="168"/>
    </row>
    <row r="58" spans="1:17" ht="15.75">
      <c r="A58" s="181">
        <f>BOQ!C120</f>
        <v>16.010000000000002</v>
      </c>
      <c r="B58" s="146">
        <v>46</v>
      </c>
      <c r="C58" s="176" t="str">
        <f>BOQ!F120</f>
        <v>Hot deeped galvanized steel 2" pipe for RCC reservoir</v>
      </c>
      <c r="D58" s="178" t="str">
        <f>BOQ!H120</f>
        <v>m</v>
      </c>
      <c r="E58" s="180">
        <f>BOQ!G120</f>
        <v>27.5</v>
      </c>
      <c r="F58" s="178"/>
      <c r="G58" s="179">
        <f>BOQ!I120</f>
        <v>220</v>
      </c>
      <c r="H58" s="173">
        <f t="shared" si="0"/>
        <v>6050</v>
      </c>
      <c r="I58" s="178"/>
      <c r="J58" s="155"/>
      <c r="K58" s="155"/>
      <c r="L58" s="172"/>
      <c r="M58" s="170"/>
      <c r="N58" s="171"/>
      <c r="O58" s="170"/>
      <c r="P58" s="169"/>
      <c r="Q58" s="168"/>
    </row>
    <row r="59" spans="1:17" ht="15.75">
      <c r="A59" s="181">
        <f>BOQ!C121</f>
        <v>16.020000000000003</v>
      </c>
      <c r="B59" s="146">
        <v>47</v>
      </c>
      <c r="C59" s="176" t="str">
        <f>BOQ!F121</f>
        <v>Gate valve stainless steel 2"</v>
      </c>
      <c r="D59" s="178" t="str">
        <f>BOQ!H121</f>
        <v>No</v>
      </c>
      <c r="E59" s="180">
        <f>BOQ!G121</f>
        <v>1</v>
      </c>
      <c r="F59" s="178"/>
      <c r="G59" s="179">
        <f>BOQ!I121</f>
        <v>1800</v>
      </c>
      <c r="H59" s="173">
        <f t="shared" si="0"/>
        <v>1800</v>
      </c>
      <c r="I59" s="178"/>
      <c r="J59" s="155"/>
      <c r="K59" s="155"/>
      <c r="L59" s="172"/>
      <c r="M59" s="170"/>
      <c r="N59" s="171"/>
      <c r="O59" s="170"/>
      <c r="P59" s="169"/>
      <c r="Q59" s="168"/>
    </row>
    <row r="60" spans="1:17" ht="15.75">
      <c r="A60" s="181">
        <f>BOQ!C122</f>
        <v>16.030000000000005</v>
      </c>
      <c r="B60" s="146">
        <v>48</v>
      </c>
      <c r="C60" s="176" t="str">
        <f>BOQ!F122</f>
        <v>PE100, Pressure 10, Ø63mm</v>
      </c>
      <c r="D60" s="178" t="str">
        <f>BOQ!H122</f>
        <v>m</v>
      </c>
      <c r="E60" s="180">
        <f>BOQ!G122</f>
        <v>30</v>
      </c>
      <c r="F60" s="178"/>
      <c r="G60" s="179">
        <f>BOQ!I122</f>
        <v>70</v>
      </c>
      <c r="H60" s="173">
        <f t="shared" si="0"/>
        <v>2100</v>
      </c>
      <c r="I60" s="178"/>
      <c r="J60" s="155"/>
      <c r="K60" s="155"/>
      <c r="L60" s="172"/>
      <c r="M60" s="170"/>
      <c r="N60" s="171"/>
      <c r="O60" s="170"/>
      <c r="P60" s="169"/>
      <c r="Q60" s="168"/>
    </row>
    <row r="61" spans="1:17" ht="15.75">
      <c r="A61" s="181">
        <f>BOQ!C123</f>
        <v>16.040000000000006</v>
      </c>
      <c r="B61" s="146">
        <v>49</v>
      </c>
      <c r="C61" s="176" t="str">
        <f>BOQ!F123</f>
        <v>PE100, Pressure 10, Ø50mm</v>
      </c>
      <c r="D61" s="178" t="str">
        <f>BOQ!H123</f>
        <v>m</v>
      </c>
      <c r="E61" s="180">
        <f>BOQ!G123</f>
        <v>93</v>
      </c>
      <c r="F61" s="178"/>
      <c r="G61" s="179">
        <f>BOQ!I123</f>
        <v>60</v>
      </c>
      <c r="H61" s="173">
        <f t="shared" si="0"/>
        <v>5580</v>
      </c>
      <c r="I61" s="178"/>
      <c r="J61" s="155"/>
      <c r="K61" s="155"/>
      <c r="L61" s="172"/>
      <c r="M61" s="170"/>
      <c r="N61" s="171"/>
      <c r="O61" s="170"/>
      <c r="P61" s="169"/>
      <c r="Q61" s="168"/>
    </row>
    <row r="62" spans="1:17" ht="15.75">
      <c r="A62" s="181">
        <f>BOQ!C124</f>
        <v>16.050000000000008</v>
      </c>
      <c r="B62" s="146">
        <v>50</v>
      </c>
      <c r="C62" s="176" t="str">
        <f>BOQ!F124</f>
        <v>PE100, Pressure 10, Ø40mm</v>
      </c>
      <c r="D62" s="178" t="str">
        <f>BOQ!H124</f>
        <v>m</v>
      </c>
      <c r="E62" s="180">
        <f>BOQ!G124</f>
        <v>49</v>
      </c>
      <c r="F62" s="178"/>
      <c r="G62" s="179">
        <f>BOQ!I124</f>
        <v>55</v>
      </c>
      <c r="H62" s="173">
        <f t="shared" si="0"/>
        <v>2695</v>
      </c>
      <c r="I62" s="178"/>
      <c r="J62" s="155"/>
      <c r="K62" s="155"/>
      <c r="L62" s="172"/>
      <c r="M62" s="170"/>
      <c r="N62" s="171"/>
      <c r="O62" s="170"/>
      <c r="P62" s="169"/>
      <c r="Q62" s="168"/>
    </row>
    <row r="63" spans="1:17" ht="15.75">
      <c r="A63" s="181">
        <f>BOQ!C125</f>
        <v>16.060000000000009</v>
      </c>
      <c r="B63" s="146">
        <v>51</v>
      </c>
      <c r="C63" s="176" t="str">
        <f>BOQ!F125</f>
        <v>PE100, Pressure 10, Ø32mm</v>
      </c>
      <c r="D63" s="178" t="str">
        <f>BOQ!H125</f>
        <v>m</v>
      </c>
      <c r="E63" s="180">
        <f>BOQ!G125</f>
        <v>41</v>
      </c>
      <c r="F63" s="178"/>
      <c r="G63" s="179">
        <f>BOQ!I125</f>
        <v>45</v>
      </c>
      <c r="H63" s="173">
        <f t="shared" si="0"/>
        <v>1845</v>
      </c>
      <c r="I63" s="178"/>
      <c r="J63" s="155"/>
      <c r="K63" s="155"/>
      <c r="L63" s="172"/>
      <c r="M63" s="170"/>
      <c r="N63" s="171"/>
      <c r="O63" s="170"/>
      <c r="P63" s="169"/>
      <c r="Q63" s="168"/>
    </row>
    <row r="64" spans="1:17" ht="15.75">
      <c r="A64" s="181">
        <f>BOQ!C126</f>
        <v>16.070000000000011</v>
      </c>
      <c r="B64" s="146">
        <v>52</v>
      </c>
      <c r="C64" s="176" t="str">
        <f>BOQ!F126</f>
        <v>PPR Pipe Ø32mm</v>
      </c>
      <c r="D64" s="178" t="str">
        <f>BOQ!H126</f>
        <v>m</v>
      </c>
      <c r="E64" s="180">
        <f>BOQ!G126</f>
        <v>24</v>
      </c>
      <c r="F64" s="178"/>
      <c r="G64" s="179">
        <f>BOQ!I126</f>
        <v>65</v>
      </c>
      <c r="H64" s="173">
        <f t="shared" si="0"/>
        <v>1560</v>
      </c>
      <c r="I64" s="178"/>
      <c r="J64" s="155"/>
      <c r="K64" s="155"/>
      <c r="L64" s="172"/>
      <c r="M64" s="170"/>
      <c r="N64" s="171"/>
      <c r="O64" s="170"/>
      <c r="P64" s="169"/>
      <c r="Q64" s="168"/>
    </row>
    <row r="65" spans="1:17" ht="15.75">
      <c r="A65" s="181">
        <f>BOQ!C127</f>
        <v>16.080000000000013</v>
      </c>
      <c r="B65" s="146">
        <v>53</v>
      </c>
      <c r="C65" s="176" t="str">
        <f>BOQ!F127</f>
        <v>PPR Pipe Ø25mm</v>
      </c>
      <c r="D65" s="178" t="str">
        <f>BOQ!H127</f>
        <v>m</v>
      </c>
      <c r="E65" s="180">
        <f>BOQ!G127</f>
        <v>80</v>
      </c>
      <c r="F65" s="178"/>
      <c r="G65" s="179">
        <f>BOQ!I127</f>
        <v>50</v>
      </c>
      <c r="H65" s="173">
        <f t="shared" si="0"/>
        <v>4000</v>
      </c>
      <c r="I65" s="178"/>
      <c r="J65" s="155"/>
      <c r="K65" s="155"/>
      <c r="L65" s="172"/>
      <c r="M65" s="170"/>
      <c r="N65" s="171"/>
      <c r="O65" s="170"/>
      <c r="P65" s="169"/>
      <c r="Q65" s="168"/>
    </row>
    <row r="66" spans="1:17" ht="30">
      <c r="A66" s="181">
        <f>BOQ!C128</f>
        <v>16.090000000000014</v>
      </c>
      <c r="B66" s="146">
        <v>54</v>
      </c>
      <c r="C66" s="176" t="str">
        <f>BOQ!F128</f>
        <v>Hand washing sinks with high quality brass lever faucet, mirror and accessories</v>
      </c>
      <c r="D66" s="178" t="str">
        <f>BOQ!H128</f>
        <v>Set</v>
      </c>
      <c r="E66" s="180">
        <f>BOQ!G128</f>
        <v>7</v>
      </c>
      <c r="F66" s="178"/>
      <c r="G66" s="179">
        <f>BOQ!I128</f>
        <v>1400</v>
      </c>
      <c r="H66" s="173">
        <f t="shared" si="0"/>
        <v>9800</v>
      </c>
      <c r="I66" s="178"/>
      <c r="J66" s="155"/>
      <c r="K66" s="155"/>
      <c r="L66" s="172"/>
      <c r="M66" s="170"/>
      <c r="N66" s="171"/>
      <c r="O66" s="170"/>
      <c r="P66" s="169"/>
      <c r="Q66" s="168"/>
    </row>
    <row r="67" spans="1:17" ht="15.75">
      <c r="A67" s="181">
        <f>BOQ!C129</f>
        <v>16.100000000000016</v>
      </c>
      <c r="B67" s="146">
        <v>55</v>
      </c>
      <c r="C67" s="176" t="str">
        <f>BOQ!F129</f>
        <v>High quality brass lever faucets</v>
      </c>
      <c r="D67" s="178" t="str">
        <f>BOQ!H129</f>
        <v>No</v>
      </c>
      <c r="E67" s="180">
        <f>BOQ!G129</f>
        <v>12</v>
      </c>
      <c r="F67" s="178"/>
      <c r="G67" s="179">
        <f>BOQ!I129</f>
        <v>150</v>
      </c>
      <c r="H67" s="173">
        <f t="shared" si="0"/>
        <v>1800</v>
      </c>
      <c r="I67" s="178"/>
      <c r="J67" s="155"/>
      <c r="K67" s="155"/>
      <c r="L67" s="172"/>
      <c r="M67" s="170"/>
      <c r="N67" s="171"/>
      <c r="O67" s="170"/>
      <c r="P67" s="169"/>
      <c r="Q67" s="168"/>
    </row>
    <row r="68" spans="1:17" ht="15.75">
      <c r="A68" s="181">
        <f>BOQ!C130</f>
        <v>16.110000000000017</v>
      </c>
      <c r="B68" s="146">
        <v>56</v>
      </c>
      <c r="C68" s="176" t="str">
        <f>BOQ!F130</f>
        <v>Electrical water boiler 80 litre, Arabic super Aquahot with all spares</v>
      </c>
      <c r="D68" s="178" t="str">
        <f>BOQ!H130</f>
        <v>No</v>
      </c>
      <c r="E68" s="180">
        <f>BOQ!G130</f>
        <v>1</v>
      </c>
      <c r="F68" s="178"/>
      <c r="G68" s="179">
        <f>BOQ!I130</f>
        <v>15000</v>
      </c>
      <c r="H68" s="173">
        <f t="shared" si="0"/>
        <v>15000</v>
      </c>
      <c r="I68" s="178"/>
      <c r="J68" s="155"/>
      <c r="K68" s="155"/>
      <c r="L68" s="172"/>
      <c r="M68" s="170"/>
      <c r="N68" s="171"/>
      <c r="O68" s="170"/>
      <c r="P68" s="169"/>
      <c r="Q68" s="168"/>
    </row>
    <row r="69" spans="1:17" ht="15.75">
      <c r="A69" s="181">
        <f>BOQ!C131</f>
        <v>16.120000000000019</v>
      </c>
      <c r="B69" s="146">
        <v>57</v>
      </c>
      <c r="C69" s="176" t="str">
        <f>BOQ!F131</f>
        <v>PPR Tee size 32mm PN25</v>
      </c>
      <c r="D69" s="178" t="str">
        <f>BOQ!H131</f>
        <v>pcs</v>
      </c>
      <c r="E69" s="180">
        <f>BOQ!G131</f>
        <v>15</v>
      </c>
      <c r="F69" s="178"/>
      <c r="G69" s="179">
        <f>BOQ!I131</f>
        <v>20</v>
      </c>
      <c r="H69" s="173">
        <f t="shared" si="0"/>
        <v>300</v>
      </c>
      <c r="I69" s="178"/>
      <c r="J69" s="155"/>
      <c r="K69" s="155"/>
      <c r="L69" s="172"/>
      <c r="M69" s="170"/>
      <c r="N69" s="171"/>
      <c r="O69" s="170"/>
      <c r="P69" s="169"/>
      <c r="Q69" s="168"/>
    </row>
    <row r="70" spans="1:17" ht="15.75">
      <c r="A70" s="181">
        <f>BOQ!C132</f>
        <v>16.13000000000002</v>
      </c>
      <c r="B70" s="146">
        <v>58</v>
      </c>
      <c r="C70" s="176" t="str">
        <f>BOQ!F132</f>
        <v>PPR Tee size 25mm PN25</v>
      </c>
      <c r="D70" s="178" t="str">
        <f>BOQ!H132</f>
        <v>pcs</v>
      </c>
      <c r="E70" s="180">
        <f>BOQ!G132</f>
        <v>18</v>
      </c>
      <c r="F70" s="178"/>
      <c r="G70" s="179">
        <f>BOQ!I132</f>
        <v>10</v>
      </c>
      <c r="H70" s="173">
        <f t="shared" si="0"/>
        <v>180</v>
      </c>
      <c r="I70" s="178"/>
      <c r="J70" s="155"/>
      <c r="K70" s="155"/>
      <c r="L70" s="172"/>
      <c r="M70" s="170"/>
      <c r="N70" s="171"/>
      <c r="O70" s="170"/>
      <c r="P70" s="169"/>
      <c r="Q70" s="168"/>
    </row>
    <row r="71" spans="1:17" ht="15.75">
      <c r="A71" s="181">
        <f>BOQ!C133</f>
        <v>16.140000000000022</v>
      </c>
      <c r="B71" s="146">
        <v>59</v>
      </c>
      <c r="C71" s="176" t="str">
        <f>BOQ!F133</f>
        <v>PPR Elbow size 32mm PN25</v>
      </c>
      <c r="D71" s="178" t="str">
        <f>BOQ!H133</f>
        <v>pcs</v>
      </c>
      <c r="E71" s="180">
        <f>BOQ!G133</f>
        <v>15</v>
      </c>
      <c r="F71" s="178"/>
      <c r="G71" s="179">
        <f>BOQ!I133</f>
        <v>20</v>
      </c>
      <c r="H71" s="173">
        <f t="shared" si="0"/>
        <v>300</v>
      </c>
      <c r="I71" s="178"/>
      <c r="J71" s="155"/>
      <c r="K71" s="155"/>
      <c r="L71" s="172"/>
      <c r="M71" s="170"/>
      <c r="N71" s="171"/>
      <c r="O71" s="170"/>
      <c r="P71" s="169"/>
      <c r="Q71" s="168"/>
    </row>
    <row r="72" spans="1:17" ht="15.75">
      <c r="A72" s="181">
        <f>BOQ!C134</f>
        <v>16.150000000000023</v>
      </c>
      <c r="B72" s="146">
        <v>60</v>
      </c>
      <c r="C72" s="176" t="str">
        <f>BOQ!F134</f>
        <v>PPR Elbow size 25mm PN25</v>
      </c>
      <c r="D72" s="178" t="str">
        <f>BOQ!H134</f>
        <v>pcs</v>
      </c>
      <c r="E72" s="180">
        <f>BOQ!G134</f>
        <v>12</v>
      </c>
      <c r="F72" s="178"/>
      <c r="G72" s="179">
        <f>BOQ!I134</f>
        <v>10</v>
      </c>
      <c r="H72" s="173">
        <f t="shared" si="0"/>
        <v>120</v>
      </c>
      <c r="I72" s="178"/>
      <c r="J72" s="155"/>
      <c r="K72" s="155"/>
      <c r="L72" s="172"/>
      <c r="M72" s="170"/>
      <c r="N72" s="171"/>
      <c r="O72" s="170"/>
      <c r="P72" s="169"/>
      <c r="Q72" s="168"/>
    </row>
    <row r="73" spans="1:17" ht="15.75">
      <c r="A73" s="181">
        <f>BOQ!C135</f>
        <v>16.160000000000025</v>
      </c>
      <c r="B73" s="146">
        <v>61</v>
      </c>
      <c r="C73" s="176" t="str">
        <f>BOQ!F135</f>
        <v>PPR Elbow one side treathed coper size 25mm PN25</v>
      </c>
      <c r="D73" s="178" t="str">
        <f>BOQ!H135</f>
        <v>pcs</v>
      </c>
      <c r="E73" s="180">
        <f>BOQ!G135</f>
        <v>10</v>
      </c>
      <c r="F73" s="178"/>
      <c r="G73" s="179">
        <f>BOQ!I135</f>
        <v>10</v>
      </c>
      <c r="H73" s="173">
        <f t="shared" si="0"/>
        <v>100</v>
      </c>
      <c r="I73" s="178"/>
      <c r="J73" s="155"/>
      <c r="K73" s="155"/>
      <c r="L73" s="172"/>
      <c r="M73" s="170"/>
      <c r="N73" s="171"/>
      <c r="O73" s="170"/>
      <c r="P73" s="169"/>
      <c r="Q73" s="168"/>
    </row>
    <row r="74" spans="1:17" ht="15.75">
      <c r="A74" s="181">
        <f>BOQ!C136</f>
        <v>16.170000000000027</v>
      </c>
      <c r="B74" s="146">
        <v>62</v>
      </c>
      <c r="C74" s="176" t="str">
        <f>BOQ!F136</f>
        <v>PVC P-Trip 4" PN 6 - Class B</v>
      </c>
      <c r="D74" s="178" t="str">
        <f>BOQ!H136</f>
        <v>pc</v>
      </c>
      <c r="E74" s="180">
        <f>BOQ!G136</f>
        <v>1</v>
      </c>
      <c r="F74" s="178"/>
      <c r="G74" s="179">
        <f>BOQ!I136</f>
        <v>80</v>
      </c>
      <c r="H74" s="173">
        <f t="shared" si="0"/>
        <v>80</v>
      </c>
      <c r="I74" s="178"/>
      <c r="J74" s="155"/>
      <c r="K74" s="155"/>
      <c r="L74" s="172"/>
      <c r="M74" s="170"/>
      <c r="N74" s="171"/>
      <c r="O74" s="170"/>
      <c r="P74" s="169"/>
      <c r="Q74" s="168"/>
    </row>
    <row r="75" spans="1:17" ht="15.75">
      <c r="A75" s="181">
        <f>BOQ!C137</f>
        <v>16.180000000000028</v>
      </c>
      <c r="B75" s="146">
        <v>63</v>
      </c>
      <c r="C75" s="176" t="str">
        <f>BOQ!F137</f>
        <v>PVC P-Trip 4" PN 6 - Class B</v>
      </c>
      <c r="D75" s="178" t="str">
        <f>BOQ!H137</f>
        <v>pc</v>
      </c>
      <c r="E75" s="180">
        <f>BOQ!G137</f>
        <v>1</v>
      </c>
      <c r="F75" s="178"/>
      <c r="G75" s="179">
        <f>BOQ!I137</f>
        <v>80</v>
      </c>
      <c r="H75" s="173">
        <f t="shared" si="0"/>
        <v>80</v>
      </c>
      <c r="I75" s="178"/>
      <c r="J75" s="155"/>
      <c r="K75" s="155"/>
      <c r="L75" s="172"/>
      <c r="M75" s="170"/>
      <c r="N75" s="171"/>
      <c r="O75" s="170"/>
      <c r="P75" s="169"/>
      <c r="Q75" s="168"/>
    </row>
    <row r="76" spans="1:17" ht="15.75">
      <c r="A76" s="181">
        <f>BOQ!C138</f>
        <v>16.19000000000003</v>
      </c>
      <c r="B76" s="146">
        <v>64</v>
      </c>
      <c r="C76" s="176" t="str">
        <f>BOQ!F138</f>
        <v>PVC Pipe 4" Class B 6bar</v>
      </c>
      <c r="D76" s="178" t="str">
        <f>BOQ!H138</f>
        <v>m</v>
      </c>
      <c r="E76" s="180">
        <f>BOQ!G138</f>
        <v>23</v>
      </c>
      <c r="F76" s="178"/>
      <c r="G76" s="179">
        <f>BOQ!I138</f>
        <v>200</v>
      </c>
      <c r="H76" s="173">
        <f t="shared" si="0"/>
        <v>4600</v>
      </c>
      <c r="I76" s="178"/>
      <c r="J76" s="155"/>
      <c r="K76" s="155"/>
      <c r="L76" s="172"/>
      <c r="M76" s="170"/>
      <c r="N76" s="171"/>
      <c r="O76" s="170"/>
      <c r="P76" s="169"/>
      <c r="Q76" s="168"/>
    </row>
    <row r="77" spans="1:17" ht="15.75">
      <c r="A77" s="181">
        <f>BOQ!C139</f>
        <v>16.200000000000031</v>
      </c>
      <c r="B77" s="146">
        <v>65</v>
      </c>
      <c r="C77" s="176" t="str">
        <f>BOQ!F139</f>
        <v>PVC Pipe 3" Class B 6bar</v>
      </c>
      <c r="D77" s="178" t="str">
        <f>BOQ!H139</f>
        <v>m</v>
      </c>
      <c r="E77" s="180">
        <f>BOQ!G139</f>
        <v>25</v>
      </c>
      <c r="F77" s="178"/>
      <c r="G77" s="179">
        <f>BOQ!I139</f>
        <v>180</v>
      </c>
      <c r="H77" s="173">
        <f t="shared" si="0"/>
        <v>4500</v>
      </c>
      <c r="I77" s="178"/>
      <c r="J77" s="155"/>
      <c r="K77" s="155"/>
      <c r="L77" s="172"/>
      <c r="M77" s="170"/>
      <c r="N77" s="171"/>
      <c r="O77" s="170"/>
      <c r="P77" s="169"/>
      <c r="Q77" s="168"/>
    </row>
    <row r="78" spans="1:17" ht="15.75">
      <c r="A78" s="181">
        <f>BOQ!C140</f>
        <v>16.210000000000033</v>
      </c>
      <c r="B78" s="146">
        <v>66</v>
      </c>
      <c r="C78" s="176" t="str">
        <f>BOQ!F140</f>
        <v>PVC Pipe 2" Class B 6bar</v>
      </c>
      <c r="D78" s="178" t="str">
        <f>BOQ!H140</f>
        <v>m</v>
      </c>
      <c r="E78" s="180">
        <f>BOQ!G140</f>
        <v>6</v>
      </c>
      <c r="F78" s="178"/>
      <c r="G78" s="179">
        <f>BOQ!I140</f>
        <v>110</v>
      </c>
      <c r="H78" s="173">
        <f t="shared" ref="H78:H89" si="1">G78*E78</f>
        <v>660</v>
      </c>
      <c r="I78" s="178"/>
      <c r="J78" s="155"/>
      <c r="K78" s="155"/>
      <c r="L78" s="172"/>
      <c r="M78" s="170"/>
      <c r="N78" s="171"/>
      <c r="O78" s="170"/>
      <c r="P78" s="169"/>
      <c r="Q78" s="168"/>
    </row>
    <row r="79" spans="1:17" ht="15.75">
      <c r="A79" s="181">
        <f>BOQ!C141</f>
        <v>16.220000000000034</v>
      </c>
      <c r="B79" s="146">
        <v>67</v>
      </c>
      <c r="C79" s="176" t="str">
        <f>BOQ!F141</f>
        <v>PVC Tee 4X3" 45 degree PN 6 - Class B</v>
      </c>
      <c r="D79" s="178" t="str">
        <f>BOQ!H141</f>
        <v>pc</v>
      </c>
      <c r="E79" s="180">
        <f>BOQ!G141</f>
        <v>10</v>
      </c>
      <c r="F79" s="178"/>
      <c r="G79" s="179">
        <f>BOQ!I141</f>
        <v>100</v>
      </c>
      <c r="H79" s="173">
        <f t="shared" si="1"/>
        <v>1000</v>
      </c>
      <c r="I79" s="178"/>
      <c r="J79" s="155"/>
      <c r="K79" s="155"/>
      <c r="L79" s="172"/>
      <c r="M79" s="170"/>
      <c r="N79" s="171"/>
      <c r="O79" s="170"/>
      <c r="P79" s="169"/>
      <c r="Q79" s="168"/>
    </row>
    <row r="80" spans="1:17" ht="15.75">
      <c r="A80" s="181">
        <f>BOQ!C142</f>
        <v>16.230000000000036</v>
      </c>
      <c r="B80" s="146">
        <v>68</v>
      </c>
      <c r="C80" s="176" t="str">
        <f>BOQ!F142</f>
        <v>PVC Tee 3X2" 45 degree PN 6 - Class B</v>
      </c>
      <c r="D80" s="178" t="str">
        <f>BOQ!H142</f>
        <v>pc</v>
      </c>
      <c r="E80" s="180">
        <f>BOQ!G142</f>
        <v>6</v>
      </c>
      <c r="F80" s="178"/>
      <c r="G80" s="179">
        <f>BOQ!I142</f>
        <v>85</v>
      </c>
      <c r="H80" s="173">
        <f t="shared" si="1"/>
        <v>510</v>
      </c>
      <c r="I80" s="178"/>
      <c r="J80" s="155"/>
      <c r="K80" s="155"/>
      <c r="L80" s="172"/>
      <c r="M80" s="170"/>
      <c r="N80" s="171"/>
      <c r="O80" s="170"/>
      <c r="P80" s="169"/>
      <c r="Q80" s="168"/>
    </row>
    <row r="81" spans="1:17" ht="15.75">
      <c r="A81" s="181">
        <f>BOQ!C143</f>
        <v>16.240000000000038</v>
      </c>
      <c r="B81" s="146">
        <v>69</v>
      </c>
      <c r="C81" s="176" t="str">
        <f>BOQ!F143</f>
        <v>PVC Tee 4" PN 6 - Class B</v>
      </c>
      <c r="D81" s="178" t="str">
        <f>BOQ!H143</f>
        <v>pc</v>
      </c>
      <c r="E81" s="180">
        <f>BOQ!G143</f>
        <v>1</v>
      </c>
      <c r="F81" s="178"/>
      <c r="G81" s="179">
        <f>BOQ!I143</f>
        <v>100</v>
      </c>
      <c r="H81" s="173">
        <f t="shared" si="1"/>
        <v>100</v>
      </c>
      <c r="I81" s="178"/>
      <c r="J81" s="155"/>
      <c r="K81" s="155"/>
      <c r="L81" s="172"/>
      <c r="M81" s="170"/>
      <c r="N81" s="171"/>
      <c r="O81" s="170"/>
      <c r="P81" s="169"/>
      <c r="Q81" s="168"/>
    </row>
    <row r="82" spans="1:17" ht="15.75">
      <c r="A82" s="181">
        <f>BOQ!C144</f>
        <v>16.250000000000039</v>
      </c>
      <c r="B82" s="146">
        <v>70</v>
      </c>
      <c r="C82" s="176" t="str">
        <f>BOQ!F144</f>
        <v>PVC Elbow 4 inch 90 degree PN 6 - Class B</v>
      </c>
      <c r="D82" s="178" t="str">
        <f>BOQ!H144</f>
        <v>pc</v>
      </c>
      <c r="E82" s="180">
        <f>BOQ!G144</f>
        <v>3</v>
      </c>
      <c r="F82" s="178"/>
      <c r="G82" s="179">
        <f>BOQ!I144</f>
        <v>100</v>
      </c>
      <c r="H82" s="173">
        <f t="shared" si="1"/>
        <v>300</v>
      </c>
      <c r="I82" s="178"/>
      <c r="J82" s="155"/>
      <c r="K82" s="155"/>
      <c r="L82" s="172"/>
      <c r="M82" s="170"/>
      <c r="N82" s="171"/>
      <c r="O82" s="170"/>
      <c r="P82" s="169"/>
      <c r="Q82" s="168"/>
    </row>
    <row r="83" spans="1:17" ht="15.75">
      <c r="A83" s="181">
        <f>BOQ!C145</f>
        <v>16.260000000000041</v>
      </c>
      <c r="B83" s="146">
        <v>71</v>
      </c>
      <c r="C83" s="176" t="str">
        <f>BOQ!F145</f>
        <v>PVC Elbow 2" 45 degree PN 6 - Class B</v>
      </c>
      <c r="D83" s="178" t="str">
        <f>BOQ!H145</f>
        <v>pc</v>
      </c>
      <c r="E83" s="180">
        <f>BOQ!G145</f>
        <v>12</v>
      </c>
      <c r="F83" s="178"/>
      <c r="G83" s="179">
        <f>BOQ!I145</f>
        <v>40</v>
      </c>
      <c r="H83" s="173">
        <f t="shared" si="1"/>
        <v>480</v>
      </c>
      <c r="I83" s="178"/>
      <c r="J83" s="155"/>
      <c r="K83" s="155"/>
      <c r="L83" s="172"/>
      <c r="M83" s="170"/>
      <c r="N83" s="171"/>
      <c r="O83" s="170"/>
      <c r="P83" s="169"/>
      <c r="Q83" s="168"/>
    </row>
    <row r="84" spans="1:17" ht="15.75">
      <c r="A84" s="181">
        <f>BOQ!C146</f>
        <v>16.270000000000042</v>
      </c>
      <c r="B84" s="146">
        <v>72</v>
      </c>
      <c r="C84" s="176" t="str">
        <f>BOQ!F146</f>
        <v>PVC Elbow 4" 45 degree PN 6 - Class B</v>
      </c>
      <c r="D84" s="178" t="str">
        <f>BOQ!H146</f>
        <v>pc</v>
      </c>
      <c r="E84" s="180">
        <f>BOQ!G146</f>
        <v>1</v>
      </c>
      <c r="F84" s="178"/>
      <c r="G84" s="179">
        <f>BOQ!I146</f>
        <v>80</v>
      </c>
      <c r="H84" s="173">
        <f t="shared" si="1"/>
        <v>80</v>
      </c>
      <c r="I84" s="178"/>
      <c r="J84" s="155"/>
      <c r="K84" s="155"/>
      <c r="L84" s="172"/>
      <c r="M84" s="170"/>
      <c r="N84" s="171"/>
      <c r="O84" s="170"/>
      <c r="P84" s="169"/>
      <c r="Q84" s="168"/>
    </row>
    <row r="85" spans="1:17" ht="15.75">
      <c r="A85" s="181">
        <f>BOQ!C147</f>
        <v>16.280000000000044</v>
      </c>
      <c r="B85" s="146">
        <v>73</v>
      </c>
      <c r="C85" s="176" t="str">
        <f>BOQ!F147</f>
        <v>Pipe PE 100,HDPE 16Bar Diameter 63mm</v>
      </c>
      <c r="D85" s="178" t="str">
        <f>BOQ!H147</f>
        <v>m</v>
      </c>
      <c r="E85" s="180">
        <f>BOQ!G147</f>
        <v>6</v>
      </c>
      <c r="F85" s="178"/>
      <c r="G85" s="179">
        <f>BOQ!I147</f>
        <v>125</v>
      </c>
      <c r="H85" s="173">
        <f t="shared" si="1"/>
        <v>750</v>
      </c>
      <c r="I85" s="178"/>
      <c r="J85" s="155"/>
      <c r="K85" s="155"/>
      <c r="L85" s="172"/>
      <c r="M85" s="170"/>
      <c r="N85" s="171"/>
      <c r="O85" s="170"/>
      <c r="P85" s="169"/>
      <c r="Q85" s="168"/>
    </row>
    <row r="86" spans="1:17" ht="15.75">
      <c r="A86" s="181">
        <f>BOQ!C148</f>
        <v>16.290000000000045</v>
      </c>
      <c r="B86" s="146">
        <v>74</v>
      </c>
      <c r="C86" s="176" t="str">
        <f>BOQ!F148</f>
        <v xml:space="preserve">Glass wool for pipes insulation @ 5cm thickness </v>
      </c>
      <c r="D86" s="178" t="str">
        <f>BOQ!H148</f>
        <v>m2</v>
      </c>
      <c r="E86" s="180">
        <f>BOQ!G148</f>
        <v>60</v>
      </c>
      <c r="F86" s="178"/>
      <c r="G86" s="179">
        <f>BOQ!I148</f>
        <v>150</v>
      </c>
      <c r="H86" s="173">
        <f t="shared" si="1"/>
        <v>9000</v>
      </c>
      <c r="I86" s="178"/>
      <c r="J86" s="155"/>
      <c r="K86" s="155"/>
      <c r="L86" s="172"/>
      <c r="M86" s="170"/>
      <c r="N86" s="171"/>
      <c r="O86" s="170"/>
      <c r="P86" s="169"/>
      <c r="Q86" s="168"/>
    </row>
    <row r="87" spans="1:17" ht="15.75">
      <c r="A87" s="181">
        <f>BOQ!C149</f>
        <v>16.300000000000047</v>
      </c>
      <c r="B87" s="146">
        <v>75</v>
      </c>
      <c r="C87" s="176" t="str">
        <f>BOQ!F149</f>
        <v>Burlap for covering reservoir GI pipes</v>
      </c>
      <c r="D87" s="178" t="str">
        <f>BOQ!H149</f>
        <v>m2</v>
      </c>
      <c r="E87" s="180">
        <f>BOQ!G149</f>
        <v>15</v>
      </c>
      <c r="F87" s="178"/>
      <c r="G87" s="179">
        <f>BOQ!I149</f>
        <v>35</v>
      </c>
      <c r="H87" s="173">
        <f t="shared" si="1"/>
        <v>525</v>
      </c>
      <c r="I87" s="178"/>
      <c r="J87" s="155"/>
      <c r="K87" s="155"/>
      <c r="L87" s="172"/>
      <c r="M87" s="170"/>
      <c r="N87" s="171"/>
      <c r="O87" s="170"/>
      <c r="P87" s="169"/>
      <c r="Q87" s="168"/>
    </row>
    <row r="88" spans="1:17" ht="15.75">
      <c r="A88" s="177">
        <f>BOQ!C196</f>
        <v>22.01</v>
      </c>
      <c r="B88" s="146">
        <v>76</v>
      </c>
      <c r="C88" s="176" t="str">
        <f>BOQ!F196</f>
        <v>Total transportaion of material to the village</v>
      </c>
      <c r="D88" s="175" t="s">
        <v>88</v>
      </c>
      <c r="E88" s="173">
        <v>1</v>
      </c>
      <c r="F88" s="175"/>
      <c r="G88" s="174">
        <f>BOQ!I196</f>
        <v>60000</v>
      </c>
      <c r="H88" s="173">
        <f t="shared" si="1"/>
        <v>60000</v>
      </c>
      <c r="I88" s="165"/>
      <c r="J88" s="155"/>
      <c r="K88" s="155"/>
      <c r="L88" s="172"/>
      <c r="M88" s="170"/>
      <c r="N88" s="171"/>
      <c r="O88" s="170"/>
      <c r="P88" s="169"/>
      <c r="Q88" s="168"/>
    </row>
    <row r="89" spans="1:17" ht="15.75">
      <c r="A89" s="177">
        <f>BOQ!C197</f>
        <v>22.02</v>
      </c>
      <c r="B89" s="146">
        <v>77</v>
      </c>
      <c r="C89" s="176" t="str">
        <f>BOQ!F197</f>
        <v>Miscellaneous vages (5%) of total project</v>
      </c>
      <c r="D89" s="175" t="s">
        <v>88</v>
      </c>
      <c r="E89" s="173">
        <v>1</v>
      </c>
      <c r="F89" s="175"/>
      <c r="G89" s="174">
        <f>BOQ!I197</f>
        <v>15000</v>
      </c>
      <c r="H89" s="173">
        <f t="shared" si="1"/>
        <v>15000</v>
      </c>
      <c r="I89" s="165"/>
      <c r="J89" s="155"/>
      <c r="K89" s="155"/>
      <c r="L89" s="172"/>
      <c r="M89" s="170"/>
      <c r="N89" s="171"/>
      <c r="O89" s="170"/>
      <c r="P89" s="169"/>
      <c r="Q89" s="168"/>
    </row>
    <row r="90" spans="1:17" ht="15.75">
      <c r="A90" s="286" t="s">
        <v>381</v>
      </c>
      <c r="B90" s="287"/>
      <c r="C90" s="287"/>
      <c r="D90" s="287"/>
      <c r="E90" s="287"/>
      <c r="F90" s="287"/>
      <c r="G90" s="288"/>
      <c r="H90" s="166">
        <f>SUM(H13:H89)</f>
        <v>851999.99999999988</v>
      </c>
      <c r="I90" s="165"/>
      <c r="J90" s="164"/>
      <c r="K90" s="163"/>
      <c r="L90" s="163"/>
      <c r="M90" s="163"/>
      <c r="N90" s="163"/>
      <c r="O90" s="162"/>
      <c r="P90" s="258"/>
      <c r="Q90" s="258"/>
    </row>
    <row r="91" spans="1:17" ht="15.75">
      <c r="A91" s="286" t="s">
        <v>382</v>
      </c>
      <c r="B91" s="287"/>
      <c r="C91" s="287"/>
      <c r="D91" s="287"/>
      <c r="E91" s="287"/>
      <c r="F91" s="287"/>
      <c r="G91" s="288"/>
      <c r="H91" s="166">
        <f>H90/71</f>
        <v>11999.999999999998</v>
      </c>
      <c r="I91" s="165"/>
      <c r="J91" s="164"/>
      <c r="K91" s="163"/>
      <c r="L91" s="163"/>
      <c r="M91" s="163"/>
      <c r="N91" s="163"/>
      <c r="O91" s="162"/>
      <c r="P91" s="258"/>
      <c r="Q91" s="258"/>
    </row>
    <row r="92" spans="1:17" ht="60">
      <c r="A92" s="181"/>
      <c r="B92" s="146">
        <v>1</v>
      </c>
      <c r="C92" s="176" t="s">
        <v>353</v>
      </c>
      <c r="D92" s="178" t="s">
        <v>126</v>
      </c>
      <c r="E92" s="180">
        <v>277.79065000000003</v>
      </c>
      <c r="F92" s="178"/>
      <c r="G92" s="179">
        <v>350</v>
      </c>
      <c r="H92" s="173">
        <v>97226.727500000008</v>
      </c>
      <c r="I92" s="178"/>
      <c r="J92" s="155"/>
      <c r="K92" s="155"/>
      <c r="L92" s="172"/>
      <c r="M92" s="170"/>
      <c r="N92" s="171"/>
      <c r="O92" s="170"/>
      <c r="P92" s="169"/>
      <c r="Q92" s="168"/>
    </row>
    <row r="93" spans="1:17" ht="45">
      <c r="A93" s="181"/>
      <c r="B93" s="146">
        <v>2</v>
      </c>
      <c r="C93" s="176" t="s">
        <v>354</v>
      </c>
      <c r="D93" s="178" t="s">
        <v>126</v>
      </c>
      <c r="E93" s="180">
        <v>60.231150000000014</v>
      </c>
      <c r="F93" s="178"/>
      <c r="G93" s="179">
        <v>1000</v>
      </c>
      <c r="H93" s="173">
        <v>60231.150000000016</v>
      </c>
      <c r="I93" s="178"/>
      <c r="J93" s="155"/>
      <c r="K93" s="155"/>
      <c r="L93" s="172"/>
      <c r="M93" s="170"/>
      <c r="N93" s="171"/>
      <c r="O93" s="170"/>
      <c r="P93" s="169"/>
      <c r="Q93" s="168"/>
    </row>
    <row r="94" spans="1:17" ht="60">
      <c r="A94" s="181"/>
      <c r="B94" s="146">
        <v>3</v>
      </c>
      <c r="C94" s="176" t="s">
        <v>383</v>
      </c>
      <c r="D94" s="178" t="s">
        <v>180</v>
      </c>
      <c r="E94" s="180">
        <v>1</v>
      </c>
      <c r="F94" s="178"/>
      <c r="G94" s="179">
        <v>49500</v>
      </c>
      <c r="H94" s="173">
        <v>49500</v>
      </c>
      <c r="I94" s="178"/>
      <c r="J94" s="155"/>
      <c r="K94" s="155"/>
      <c r="L94" s="172"/>
      <c r="M94" s="170"/>
      <c r="N94" s="171"/>
      <c r="O94" s="170"/>
      <c r="P94" s="169"/>
      <c r="Q94" s="168"/>
    </row>
    <row r="95" spans="1:17" ht="30">
      <c r="A95" s="181"/>
      <c r="B95" s="146">
        <v>4</v>
      </c>
      <c r="C95" s="176" t="s">
        <v>384</v>
      </c>
      <c r="D95" s="178" t="s">
        <v>14</v>
      </c>
      <c r="E95" s="180">
        <v>23.522400000000001</v>
      </c>
      <c r="F95" s="178"/>
      <c r="G95" s="179">
        <v>500</v>
      </c>
      <c r="H95" s="173">
        <v>11761.2</v>
      </c>
      <c r="I95" s="178"/>
      <c r="J95" s="155"/>
      <c r="K95" s="155"/>
      <c r="L95" s="172"/>
      <c r="M95" s="170"/>
      <c r="N95" s="171"/>
      <c r="O95" s="170"/>
      <c r="P95" s="169"/>
      <c r="Q95" s="168"/>
    </row>
    <row r="96" spans="1:17" ht="30">
      <c r="A96" s="181"/>
      <c r="B96" s="146">
        <v>5</v>
      </c>
      <c r="C96" s="176" t="s">
        <v>385</v>
      </c>
      <c r="D96" s="178" t="s">
        <v>14</v>
      </c>
      <c r="E96" s="180">
        <v>15.2620106</v>
      </c>
      <c r="F96" s="178"/>
      <c r="G96" s="179">
        <v>800</v>
      </c>
      <c r="H96" s="173">
        <v>12209.608480000001</v>
      </c>
      <c r="I96" s="178"/>
      <c r="J96" s="155"/>
      <c r="K96" s="155"/>
      <c r="L96" s="172"/>
      <c r="M96" s="170"/>
      <c r="N96" s="171"/>
      <c r="O96" s="170"/>
      <c r="P96" s="169"/>
      <c r="Q96" s="168"/>
    </row>
    <row r="97" spans="1:17" ht="30">
      <c r="A97" s="181"/>
      <c r="B97" s="146">
        <v>6</v>
      </c>
      <c r="C97" s="176" t="s">
        <v>386</v>
      </c>
      <c r="D97" s="178" t="s">
        <v>14</v>
      </c>
      <c r="E97" s="180">
        <v>3.9377100000000005</v>
      </c>
      <c r="F97" s="178"/>
      <c r="G97" s="179">
        <v>800</v>
      </c>
      <c r="H97" s="173">
        <v>3150.1680000000006</v>
      </c>
      <c r="I97" s="178"/>
      <c r="J97" s="155"/>
      <c r="K97" s="155"/>
      <c r="L97" s="172"/>
      <c r="M97" s="170"/>
      <c r="N97" s="171"/>
      <c r="O97" s="170"/>
      <c r="P97" s="169"/>
      <c r="Q97" s="168"/>
    </row>
    <row r="98" spans="1:17" ht="15.75">
      <c r="A98" s="181"/>
      <c r="B98" s="146">
        <v>7</v>
      </c>
      <c r="C98" s="176" t="s">
        <v>359</v>
      </c>
      <c r="D98" s="178" t="s">
        <v>172</v>
      </c>
      <c r="E98" s="180">
        <v>2704</v>
      </c>
      <c r="F98" s="178"/>
      <c r="G98" s="179">
        <v>3.5</v>
      </c>
      <c r="H98" s="173">
        <v>9464</v>
      </c>
      <c r="I98" s="178"/>
      <c r="J98" s="155"/>
      <c r="K98" s="155"/>
      <c r="L98" s="172"/>
      <c r="M98" s="170"/>
      <c r="N98" s="171"/>
      <c r="O98" s="170"/>
      <c r="P98" s="169"/>
      <c r="Q98" s="168"/>
    </row>
    <row r="99" spans="1:17" ht="15.75">
      <c r="A99" s="181"/>
      <c r="B99" s="146">
        <v>8</v>
      </c>
      <c r="C99" s="176" t="s">
        <v>360</v>
      </c>
      <c r="D99" s="178" t="s">
        <v>146</v>
      </c>
      <c r="E99" s="180">
        <v>5563.5060800000001</v>
      </c>
      <c r="F99" s="178"/>
      <c r="G99" s="179">
        <v>6</v>
      </c>
      <c r="H99" s="173">
        <v>33381.036480000002</v>
      </c>
      <c r="I99" s="178"/>
      <c r="J99" s="155"/>
      <c r="K99" s="155"/>
      <c r="L99" s="172"/>
      <c r="M99" s="170"/>
      <c r="N99" s="171"/>
      <c r="O99" s="170"/>
      <c r="P99" s="169"/>
      <c r="Q99" s="168"/>
    </row>
    <row r="100" spans="1:17" ht="15.75">
      <c r="A100" s="181"/>
      <c r="B100" s="146">
        <v>9</v>
      </c>
      <c r="C100" s="176" t="s">
        <v>387</v>
      </c>
      <c r="D100" s="178" t="s">
        <v>388</v>
      </c>
      <c r="E100" s="180">
        <v>3635.02909</v>
      </c>
      <c r="F100" s="178"/>
      <c r="G100" s="179"/>
      <c r="H100" s="173">
        <v>0</v>
      </c>
      <c r="I100" s="178"/>
      <c r="J100" s="155"/>
      <c r="K100" s="155"/>
      <c r="L100" s="172"/>
      <c r="M100" s="170"/>
      <c r="N100" s="171"/>
      <c r="O100" s="170"/>
      <c r="P100" s="169"/>
      <c r="Q100" s="168"/>
    </row>
    <row r="101" spans="1:17" ht="15.75">
      <c r="A101" s="181"/>
      <c r="B101" s="146">
        <v>10</v>
      </c>
      <c r="C101" s="176" t="s">
        <v>389</v>
      </c>
      <c r="D101" s="178" t="s">
        <v>11</v>
      </c>
      <c r="E101" s="180">
        <v>199</v>
      </c>
      <c r="F101" s="178"/>
      <c r="G101" s="179">
        <v>240</v>
      </c>
      <c r="H101" s="173">
        <v>47760</v>
      </c>
      <c r="I101" s="178"/>
      <c r="J101" s="155"/>
      <c r="K101" s="155"/>
      <c r="L101" s="172"/>
      <c r="M101" s="170"/>
      <c r="N101" s="171"/>
      <c r="O101" s="170"/>
      <c r="P101" s="169"/>
      <c r="Q101" s="168"/>
    </row>
    <row r="102" spans="1:17" ht="15.75">
      <c r="A102" s="181"/>
      <c r="B102" s="146">
        <v>11</v>
      </c>
      <c r="C102" s="176" t="s">
        <v>390</v>
      </c>
      <c r="D102" s="178" t="s">
        <v>11</v>
      </c>
      <c r="E102" s="180">
        <v>124.959</v>
      </c>
      <c r="F102" s="178"/>
      <c r="G102" s="179">
        <v>240</v>
      </c>
      <c r="H102" s="173">
        <v>29990.16</v>
      </c>
      <c r="I102" s="178"/>
      <c r="J102" s="155"/>
      <c r="K102" s="155"/>
      <c r="L102" s="172"/>
      <c r="M102" s="170"/>
      <c r="N102" s="171"/>
      <c r="O102" s="170"/>
      <c r="P102" s="169"/>
      <c r="Q102" s="168"/>
    </row>
    <row r="103" spans="1:17" ht="15.75" hidden="1">
      <c r="A103" s="181"/>
      <c r="B103" s="146">
        <v>12</v>
      </c>
      <c r="C103" s="176" t="s">
        <v>391</v>
      </c>
      <c r="D103" s="178" t="s">
        <v>11</v>
      </c>
      <c r="E103" s="180"/>
      <c r="F103" s="178"/>
      <c r="G103" s="179">
        <v>240</v>
      </c>
      <c r="H103" s="173">
        <v>0</v>
      </c>
      <c r="I103" s="178"/>
      <c r="J103" s="155"/>
      <c r="K103" s="155"/>
      <c r="L103" s="172"/>
      <c r="M103" s="170"/>
      <c r="N103" s="171"/>
      <c r="O103" s="170"/>
      <c r="P103" s="169"/>
      <c r="Q103" s="168"/>
    </row>
    <row r="104" spans="1:17" ht="30" hidden="1">
      <c r="A104" s="181"/>
      <c r="B104" s="146">
        <v>13</v>
      </c>
      <c r="C104" s="176" t="s">
        <v>392</v>
      </c>
      <c r="D104" s="178" t="s">
        <v>11</v>
      </c>
      <c r="E104" s="180"/>
      <c r="F104" s="178"/>
      <c r="G104" s="179">
        <v>240</v>
      </c>
      <c r="H104" s="173">
        <v>0</v>
      </c>
      <c r="I104" s="178"/>
      <c r="J104" s="155"/>
      <c r="K104" s="155"/>
      <c r="L104" s="172"/>
      <c r="M104" s="170"/>
      <c r="N104" s="171"/>
      <c r="O104" s="170"/>
      <c r="P104" s="169"/>
      <c r="Q104" s="168"/>
    </row>
    <row r="105" spans="1:17" ht="30">
      <c r="A105" s="181"/>
      <c r="B105" s="146">
        <v>14</v>
      </c>
      <c r="C105" s="176" t="s">
        <v>393</v>
      </c>
      <c r="D105" s="178" t="s">
        <v>146</v>
      </c>
      <c r="E105" s="180">
        <v>175</v>
      </c>
      <c r="F105" s="178"/>
      <c r="G105" s="179">
        <v>54</v>
      </c>
      <c r="H105" s="173">
        <v>9450</v>
      </c>
      <c r="I105" s="178"/>
      <c r="J105" s="155"/>
      <c r="K105" s="155"/>
      <c r="L105" s="172"/>
      <c r="M105" s="170"/>
      <c r="N105" s="171"/>
      <c r="O105" s="170"/>
      <c r="P105" s="169"/>
      <c r="Q105" s="168"/>
    </row>
    <row r="106" spans="1:17" ht="30">
      <c r="A106" s="181"/>
      <c r="B106" s="146">
        <v>15</v>
      </c>
      <c r="C106" s="176" t="s">
        <v>394</v>
      </c>
      <c r="D106" s="178" t="s">
        <v>146</v>
      </c>
      <c r="E106" s="180">
        <v>75</v>
      </c>
      <c r="F106" s="178"/>
      <c r="G106" s="179">
        <v>54</v>
      </c>
      <c r="H106" s="173">
        <v>4050</v>
      </c>
      <c r="I106" s="178"/>
      <c r="J106" s="155"/>
      <c r="K106" s="155"/>
      <c r="L106" s="172"/>
      <c r="M106" s="170"/>
      <c r="N106" s="171"/>
      <c r="O106" s="170"/>
      <c r="P106" s="169"/>
      <c r="Q106" s="168"/>
    </row>
    <row r="107" spans="1:17" ht="30">
      <c r="A107" s="181"/>
      <c r="B107" s="146">
        <v>16</v>
      </c>
      <c r="C107" s="176" t="s">
        <v>395</v>
      </c>
      <c r="D107" s="178" t="s">
        <v>146</v>
      </c>
      <c r="E107" s="180">
        <v>80</v>
      </c>
      <c r="F107" s="178"/>
      <c r="G107" s="179">
        <v>54</v>
      </c>
      <c r="H107" s="173">
        <v>4320</v>
      </c>
      <c r="I107" s="178"/>
      <c r="J107" s="155"/>
      <c r="K107" s="155"/>
      <c r="L107" s="172"/>
      <c r="M107" s="170"/>
      <c r="N107" s="171"/>
      <c r="O107" s="170"/>
      <c r="P107" s="169"/>
      <c r="Q107" s="168"/>
    </row>
    <row r="108" spans="1:17" ht="15.75">
      <c r="A108" s="181"/>
      <c r="B108" s="146">
        <v>17</v>
      </c>
      <c r="C108" s="176" t="s">
        <v>396</v>
      </c>
      <c r="D108" s="178" t="s">
        <v>146</v>
      </c>
      <c r="E108" s="180">
        <v>2.31</v>
      </c>
      <c r="F108" s="178"/>
      <c r="G108" s="179">
        <v>60</v>
      </c>
      <c r="H108" s="173">
        <v>138.6</v>
      </c>
      <c r="I108" s="178"/>
      <c r="J108" s="155"/>
      <c r="K108" s="155"/>
      <c r="L108" s="172"/>
      <c r="M108" s="170"/>
      <c r="N108" s="171"/>
      <c r="O108" s="170"/>
      <c r="P108" s="169"/>
      <c r="Q108" s="168"/>
    </row>
    <row r="109" spans="1:17" ht="30">
      <c r="A109" s="181"/>
      <c r="B109" s="146">
        <v>18</v>
      </c>
      <c r="C109" s="176" t="s">
        <v>397</v>
      </c>
      <c r="D109" s="178" t="s">
        <v>172</v>
      </c>
      <c r="E109" s="180"/>
      <c r="F109" s="178"/>
      <c r="G109" s="179">
        <v>6615</v>
      </c>
      <c r="H109" s="173">
        <v>0</v>
      </c>
      <c r="I109" s="178"/>
      <c r="J109" s="155"/>
      <c r="K109" s="155"/>
      <c r="L109" s="172"/>
      <c r="M109" s="170"/>
      <c r="N109" s="171"/>
      <c r="O109" s="170"/>
      <c r="P109" s="169"/>
      <c r="Q109" s="168"/>
    </row>
    <row r="110" spans="1:17" ht="15.75">
      <c r="A110" s="181"/>
      <c r="B110" s="146">
        <v>19</v>
      </c>
      <c r="C110" s="176" t="s">
        <v>398</v>
      </c>
      <c r="D110" s="178" t="s">
        <v>11</v>
      </c>
      <c r="E110" s="180">
        <v>8</v>
      </c>
      <c r="F110" s="178"/>
      <c r="G110" s="179">
        <v>300</v>
      </c>
      <c r="H110" s="173">
        <v>2400</v>
      </c>
      <c r="I110" s="178"/>
      <c r="J110" s="155"/>
      <c r="K110" s="155"/>
      <c r="L110" s="172"/>
      <c r="M110" s="170"/>
      <c r="N110" s="171"/>
      <c r="O110" s="170"/>
      <c r="P110" s="169"/>
      <c r="Q110" s="168"/>
    </row>
    <row r="111" spans="1:17" ht="30">
      <c r="A111" s="181"/>
      <c r="B111" s="146">
        <v>20</v>
      </c>
      <c r="C111" s="176" t="s">
        <v>399</v>
      </c>
      <c r="D111" s="178" t="s">
        <v>172</v>
      </c>
      <c r="E111" s="180"/>
      <c r="F111" s="178"/>
      <c r="G111" s="179">
        <v>705</v>
      </c>
      <c r="H111" s="173">
        <v>0</v>
      </c>
      <c r="I111" s="178"/>
      <c r="J111" s="155"/>
      <c r="K111" s="155"/>
      <c r="L111" s="172"/>
      <c r="M111" s="170"/>
      <c r="N111" s="171"/>
      <c r="O111" s="170"/>
      <c r="P111" s="169"/>
      <c r="Q111" s="168"/>
    </row>
    <row r="112" spans="1:17" ht="30">
      <c r="A112" s="181"/>
      <c r="B112" s="146">
        <v>21</v>
      </c>
      <c r="C112" s="176" t="s">
        <v>368</v>
      </c>
      <c r="D112" s="178" t="s">
        <v>400</v>
      </c>
      <c r="E112" s="180">
        <v>26</v>
      </c>
      <c r="F112" s="178"/>
      <c r="G112" s="179">
        <v>350</v>
      </c>
      <c r="H112" s="173">
        <v>9100</v>
      </c>
      <c r="I112" s="178"/>
      <c r="J112" s="155"/>
      <c r="K112" s="155"/>
      <c r="L112" s="172"/>
      <c r="M112" s="170"/>
      <c r="N112" s="171"/>
      <c r="O112" s="170"/>
      <c r="P112" s="169"/>
      <c r="Q112" s="168"/>
    </row>
    <row r="113" spans="1:17" ht="30">
      <c r="A113" s="181"/>
      <c r="B113" s="146">
        <v>22</v>
      </c>
      <c r="C113" s="176" t="s">
        <v>369</v>
      </c>
      <c r="D113" s="178" t="s">
        <v>401</v>
      </c>
      <c r="E113" s="180">
        <v>2</v>
      </c>
      <c r="F113" s="178"/>
      <c r="G113" s="179">
        <v>1000</v>
      </c>
      <c r="H113" s="173">
        <v>2000</v>
      </c>
      <c r="I113" s="178"/>
      <c r="J113" s="155"/>
      <c r="K113" s="155"/>
      <c r="L113" s="172"/>
      <c r="M113" s="170"/>
      <c r="N113" s="171"/>
      <c r="O113" s="170"/>
      <c r="P113" s="169"/>
      <c r="Q113" s="168"/>
    </row>
    <row r="114" spans="1:17" ht="30">
      <c r="A114" s="181"/>
      <c r="B114" s="146">
        <v>23</v>
      </c>
      <c r="C114" s="176" t="s">
        <v>402</v>
      </c>
      <c r="D114" s="178" t="s">
        <v>11</v>
      </c>
      <c r="E114" s="180">
        <v>26.700000000000003</v>
      </c>
      <c r="F114" s="178"/>
      <c r="G114" s="179">
        <v>170</v>
      </c>
      <c r="H114" s="173">
        <v>4539.0000000000009</v>
      </c>
      <c r="I114" s="178"/>
      <c r="J114" s="155"/>
      <c r="K114" s="155"/>
      <c r="L114" s="172"/>
      <c r="M114" s="170"/>
      <c r="N114" s="171"/>
      <c r="O114" s="170"/>
      <c r="P114" s="169"/>
      <c r="Q114" s="168"/>
    </row>
    <row r="115" spans="1:17" ht="30">
      <c r="A115" s="181"/>
      <c r="B115" s="146">
        <v>24</v>
      </c>
      <c r="C115" s="176" t="s">
        <v>403</v>
      </c>
      <c r="D115" s="178" t="s">
        <v>172</v>
      </c>
      <c r="E115" s="180">
        <v>1</v>
      </c>
      <c r="F115" s="178"/>
      <c r="G115" s="179">
        <v>17000</v>
      </c>
      <c r="H115" s="173">
        <v>17000</v>
      </c>
      <c r="I115" s="178"/>
      <c r="J115" s="155"/>
      <c r="K115" s="155"/>
      <c r="L115" s="172"/>
      <c r="M115" s="170"/>
      <c r="N115" s="171"/>
      <c r="O115" s="170"/>
      <c r="P115" s="169"/>
      <c r="Q115" s="168"/>
    </row>
    <row r="116" spans="1:17" ht="30">
      <c r="A116" s="181"/>
      <c r="B116" s="146">
        <v>25</v>
      </c>
      <c r="C116" s="176" t="s">
        <v>404</v>
      </c>
      <c r="D116" s="178" t="s">
        <v>172</v>
      </c>
      <c r="E116" s="180">
        <v>1</v>
      </c>
      <c r="F116" s="178"/>
      <c r="G116" s="179">
        <v>12000</v>
      </c>
      <c r="H116" s="173">
        <v>12000</v>
      </c>
      <c r="I116" s="178"/>
      <c r="J116" s="155"/>
      <c r="K116" s="155"/>
      <c r="L116" s="172"/>
      <c r="M116" s="170"/>
      <c r="N116" s="171"/>
      <c r="O116" s="170"/>
      <c r="P116" s="169"/>
      <c r="Q116" s="168"/>
    </row>
    <row r="117" spans="1:17" ht="15.75">
      <c r="A117" s="181"/>
      <c r="B117" s="146">
        <v>26</v>
      </c>
      <c r="C117" s="176" t="s">
        <v>405</v>
      </c>
      <c r="D117" s="178" t="s">
        <v>172</v>
      </c>
      <c r="E117" s="180">
        <v>1</v>
      </c>
      <c r="F117" s="178"/>
      <c r="G117" s="179">
        <v>15000</v>
      </c>
      <c r="H117" s="173">
        <v>15000</v>
      </c>
      <c r="I117" s="178"/>
      <c r="J117" s="155"/>
      <c r="K117" s="155"/>
      <c r="L117" s="172"/>
      <c r="M117" s="170"/>
      <c r="N117" s="171"/>
      <c r="O117" s="170"/>
      <c r="P117" s="169"/>
      <c r="Q117" s="168"/>
    </row>
    <row r="118" spans="1:17" ht="30">
      <c r="A118" s="181"/>
      <c r="B118" s="146">
        <v>27</v>
      </c>
      <c r="C118" s="176" t="s">
        <v>406</v>
      </c>
      <c r="D118" s="178" t="s">
        <v>214</v>
      </c>
      <c r="E118" s="180">
        <v>1</v>
      </c>
      <c r="F118" s="178"/>
      <c r="G118" s="179">
        <v>8000</v>
      </c>
      <c r="H118" s="173">
        <v>8000</v>
      </c>
      <c r="I118" s="178"/>
      <c r="J118" s="155"/>
      <c r="K118" s="155"/>
      <c r="L118" s="172"/>
      <c r="M118" s="170"/>
      <c r="N118" s="171"/>
      <c r="O118" s="170"/>
      <c r="P118" s="169"/>
      <c r="Q118" s="168"/>
    </row>
    <row r="119" spans="1:17" ht="45">
      <c r="A119" s="181"/>
      <c r="B119" s="146">
        <v>28</v>
      </c>
      <c r="C119" s="176" t="s">
        <v>407</v>
      </c>
      <c r="D119" s="178" t="s">
        <v>172</v>
      </c>
      <c r="E119" s="180">
        <v>4</v>
      </c>
      <c r="F119" s="178"/>
      <c r="G119" s="179">
        <v>1400</v>
      </c>
      <c r="H119" s="173">
        <v>5600</v>
      </c>
      <c r="I119" s="178"/>
      <c r="J119" s="155"/>
      <c r="K119" s="155"/>
      <c r="L119" s="172"/>
      <c r="M119" s="170"/>
      <c r="N119" s="171"/>
      <c r="O119" s="170"/>
      <c r="P119" s="169"/>
      <c r="Q119" s="168"/>
    </row>
    <row r="120" spans="1:17" ht="30">
      <c r="A120" s="181"/>
      <c r="B120" s="146">
        <v>29</v>
      </c>
      <c r="C120" s="176" t="s">
        <v>408</v>
      </c>
      <c r="D120" s="178" t="s">
        <v>172</v>
      </c>
      <c r="E120" s="180">
        <v>4</v>
      </c>
      <c r="F120" s="178"/>
      <c r="G120" s="179">
        <v>100</v>
      </c>
      <c r="H120" s="173">
        <v>400</v>
      </c>
      <c r="I120" s="178"/>
      <c r="J120" s="155"/>
      <c r="K120" s="155"/>
      <c r="L120" s="172"/>
      <c r="M120" s="170"/>
      <c r="N120" s="171"/>
      <c r="O120" s="170"/>
      <c r="P120" s="169"/>
      <c r="Q120" s="168"/>
    </row>
    <row r="121" spans="1:17" ht="15.75">
      <c r="A121" s="181"/>
      <c r="B121" s="146">
        <v>30</v>
      </c>
      <c r="C121" s="176" t="s">
        <v>215</v>
      </c>
      <c r="D121" s="178" t="s">
        <v>172</v>
      </c>
      <c r="E121" s="180">
        <v>4</v>
      </c>
      <c r="F121" s="178"/>
      <c r="G121" s="179">
        <v>600</v>
      </c>
      <c r="H121" s="173">
        <v>2400</v>
      </c>
      <c r="I121" s="178"/>
      <c r="J121" s="155"/>
      <c r="K121" s="155"/>
      <c r="L121" s="172"/>
      <c r="M121" s="170"/>
      <c r="N121" s="171"/>
      <c r="O121" s="170"/>
      <c r="P121" s="169"/>
      <c r="Q121" s="168"/>
    </row>
    <row r="122" spans="1:17" ht="60">
      <c r="A122" s="181"/>
      <c r="B122" s="146">
        <v>31</v>
      </c>
      <c r="C122" s="176" t="s">
        <v>409</v>
      </c>
      <c r="D122" s="178" t="s">
        <v>172</v>
      </c>
      <c r="E122" s="180">
        <v>2</v>
      </c>
      <c r="F122" s="178"/>
      <c r="G122" s="179">
        <v>4000</v>
      </c>
      <c r="H122" s="173">
        <v>8000</v>
      </c>
      <c r="I122" s="178"/>
      <c r="J122" s="155"/>
      <c r="K122" s="155"/>
      <c r="L122" s="172"/>
      <c r="M122" s="170"/>
      <c r="N122" s="171"/>
      <c r="O122" s="170"/>
      <c r="P122" s="169"/>
      <c r="Q122" s="168"/>
    </row>
    <row r="123" spans="1:17" ht="15.75">
      <c r="A123" s="181"/>
      <c r="B123" s="146">
        <v>32</v>
      </c>
      <c r="C123" s="176" t="s">
        <v>410</v>
      </c>
      <c r="D123" s="178" t="s">
        <v>172</v>
      </c>
      <c r="E123" s="180">
        <v>10</v>
      </c>
      <c r="F123" s="178"/>
      <c r="G123" s="179">
        <v>25</v>
      </c>
      <c r="H123" s="173">
        <v>250</v>
      </c>
      <c r="I123" s="178"/>
      <c r="J123" s="155"/>
      <c r="K123" s="155"/>
      <c r="L123" s="172"/>
      <c r="M123" s="170"/>
      <c r="N123" s="171"/>
      <c r="O123" s="170"/>
      <c r="P123" s="169"/>
      <c r="Q123" s="168"/>
    </row>
    <row r="124" spans="1:17" ht="30">
      <c r="A124" s="181"/>
      <c r="B124" s="146">
        <v>33</v>
      </c>
      <c r="C124" s="176" t="s">
        <v>411</v>
      </c>
      <c r="D124" s="178" t="s">
        <v>172</v>
      </c>
      <c r="E124" s="180">
        <v>8</v>
      </c>
      <c r="F124" s="178"/>
      <c r="G124" s="179">
        <v>150</v>
      </c>
      <c r="H124" s="173">
        <v>1200</v>
      </c>
      <c r="I124" s="178"/>
      <c r="J124" s="155"/>
      <c r="K124" s="155"/>
      <c r="L124" s="172"/>
      <c r="M124" s="170"/>
      <c r="N124" s="171"/>
      <c r="O124" s="170"/>
      <c r="P124" s="169"/>
      <c r="Q124" s="168"/>
    </row>
    <row r="125" spans="1:17" ht="30">
      <c r="A125" s="181"/>
      <c r="B125" s="146">
        <v>34</v>
      </c>
      <c r="C125" s="176" t="s">
        <v>412</v>
      </c>
      <c r="D125" s="178" t="s">
        <v>172</v>
      </c>
      <c r="E125" s="180">
        <v>9</v>
      </c>
      <c r="F125" s="178"/>
      <c r="G125" s="179">
        <v>150</v>
      </c>
      <c r="H125" s="173">
        <v>1350</v>
      </c>
      <c r="I125" s="178"/>
      <c r="J125" s="155"/>
      <c r="K125" s="155"/>
      <c r="L125" s="172"/>
      <c r="M125" s="170"/>
      <c r="N125" s="171"/>
      <c r="O125" s="170"/>
      <c r="P125" s="169"/>
      <c r="Q125" s="168"/>
    </row>
    <row r="126" spans="1:17" ht="30">
      <c r="A126" s="181"/>
      <c r="B126" s="146">
        <v>35</v>
      </c>
      <c r="C126" s="176" t="s">
        <v>413</v>
      </c>
      <c r="D126" s="178" t="s">
        <v>172</v>
      </c>
      <c r="E126" s="180">
        <v>6</v>
      </c>
      <c r="F126" s="178"/>
      <c r="G126" s="179">
        <v>400</v>
      </c>
      <c r="H126" s="173">
        <v>2400</v>
      </c>
      <c r="I126" s="178"/>
      <c r="J126" s="155"/>
      <c r="K126" s="155"/>
      <c r="L126" s="172"/>
      <c r="M126" s="170"/>
      <c r="N126" s="171"/>
      <c r="O126" s="170"/>
      <c r="P126" s="169"/>
      <c r="Q126" s="168"/>
    </row>
    <row r="127" spans="1:17" ht="15.75">
      <c r="A127" s="181"/>
      <c r="B127" s="146">
        <v>36</v>
      </c>
      <c r="C127" s="176" t="s">
        <v>221</v>
      </c>
      <c r="D127" s="178" t="s">
        <v>172</v>
      </c>
      <c r="E127" s="180">
        <v>6</v>
      </c>
      <c r="F127" s="178"/>
      <c r="G127" s="179">
        <v>700</v>
      </c>
      <c r="H127" s="173">
        <v>4200</v>
      </c>
      <c r="I127" s="178"/>
      <c r="J127" s="155"/>
      <c r="K127" s="155"/>
      <c r="L127" s="172"/>
      <c r="M127" s="170"/>
      <c r="N127" s="171"/>
      <c r="O127" s="170"/>
      <c r="P127" s="169"/>
      <c r="Q127" s="168"/>
    </row>
    <row r="128" spans="1:17" ht="15.75">
      <c r="A128" s="181"/>
      <c r="B128" s="146">
        <v>37</v>
      </c>
      <c r="C128" s="176" t="s">
        <v>414</v>
      </c>
      <c r="D128" s="178" t="s">
        <v>244</v>
      </c>
      <c r="E128" s="180">
        <v>4</v>
      </c>
      <c r="F128" s="178"/>
      <c r="G128" s="179">
        <v>250</v>
      </c>
      <c r="H128" s="173">
        <v>1000</v>
      </c>
      <c r="I128" s="178"/>
      <c r="J128" s="155"/>
      <c r="K128" s="155"/>
      <c r="L128" s="172"/>
      <c r="M128" s="170"/>
      <c r="N128" s="171"/>
      <c r="O128" s="170"/>
      <c r="P128" s="169"/>
      <c r="Q128" s="168"/>
    </row>
    <row r="129" spans="1:17" ht="30">
      <c r="A129" s="181"/>
      <c r="B129" s="146">
        <v>38</v>
      </c>
      <c r="C129" s="176" t="s">
        <v>415</v>
      </c>
      <c r="D129" s="178" t="s">
        <v>172</v>
      </c>
      <c r="E129" s="180">
        <v>9</v>
      </c>
      <c r="F129" s="178"/>
      <c r="G129" s="179">
        <v>800</v>
      </c>
      <c r="H129" s="173">
        <v>7200</v>
      </c>
      <c r="I129" s="178"/>
      <c r="J129" s="155"/>
      <c r="K129" s="155"/>
      <c r="L129" s="172"/>
      <c r="M129" s="170"/>
      <c r="N129" s="171"/>
      <c r="O129" s="170"/>
      <c r="P129" s="169"/>
      <c r="Q129" s="168"/>
    </row>
    <row r="130" spans="1:17" ht="30">
      <c r="A130" s="181"/>
      <c r="B130" s="146">
        <v>39</v>
      </c>
      <c r="C130" s="176" t="s">
        <v>416</v>
      </c>
      <c r="D130" s="178" t="s">
        <v>172</v>
      </c>
      <c r="E130" s="180">
        <v>1</v>
      </c>
      <c r="F130" s="178"/>
      <c r="G130" s="179">
        <v>800</v>
      </c>
      <c r="H130" s="173">
        <v>800</v>
      </c>
      <c r="I130" s="178"/>
      <c r="J130" s="155"/>
      <c r="K130" s="155"/>
      <c r="L130" s="172"/>
      <c r="M130" s="170"/>
      <c r="N130" s="171"/>
      <c r="O130" s="170"/>
      <c r="P130" s="169"/>
      <c r="Q130" s="168"/>
    </row>
    <row r="131" spans="1:17" ht="30">
      <c r="A131" s="181"/>
      <c r="B131" s="146">
        <v>40</v>
      </c>
      <c r="C131" s="176" t="s">
        <v>417</v>
      </c>
      <c r="D131" s="178" t="s">
        <v>172</v>
      </c>
      <c r="E131" s="180">
        <v>1</v>
      </c>
      <c r="F131" s="178"/>
      <c r="G131" s="179">
        <v>800</v>
      </c>
      <c r="H131" s="173">
        <v>800</v>
      </c>
      <c r="I131" s="178"/>
      <c r="J131" s="155"/>
      <c r="K131" s="155"/>
      <c r="L131" s="172"/>
      <c r="M131" s="170"/>
      <c r="N131" s="171"/>
      <c r="O131" s="170"/>
      <c r="P131" s="169"/>
      <c r="Q131" s="168"/>
    </row>
    <row r="132" spans="1:17" ht="15.75">
      <c r="A132" s="181"/>
      <c r="B132" s="146">
        <v>41</v>
      </c>
      <c r="C132" s="176" t="s">
        <v>418</v>
      </c>
      <c r="D132" s="178" t="s">
        <v>172</v>
      </c>
      <c r="E132" s="180">
        <v>4</v>
      </c>
      <c r="F132" s="178"/>
      <c r="G132" s="179">
        <v>100</v>
      </c>
      <c r="H132" s="173">
        <v>400</v>
      </c>
      <c r="I132" s="178"/>
      <c r="J132" s="155"/>
      <c r="K132" s="155"/>
      <c r="L132" s="172"/>
      <c r="M132" s="170"/>
      <c r="N132" s="171"/>
      <c r="O132" s="170"/>
      <c r="P132" s="169"/>
      <c r="Q132" s="168"/>
    </row>
    <row r="133" spans="1:17" ht="15.75">
      <c r="A133" s="181"/>
      <c r="B133" s="146">
        <v>42</v>
      </c>
      <c r="C133" s="176" t="s">
        <v>419</v>
      </c>
      <c r="D133" s="178" t="s">
        <v>172</v>
      </c>
      <c r="E133" s="180">
        <v>10</v>
      </c>
      <c r="F133" s="178"/>
      <c r="G133" s="179">
        <v>400</v>
      </c>
      <c r="H133" s="173">
        <v>4000</v>
      </c>
      <c r="I133" s="178"/>
      <c r="J133" s="155"/>
      <c r="K133" s="155"/>
      <c r="L133" s="172"/>
      <c r="M133" s="170"/>
      <c r="N133" s="171"/>
      <c r="O133" s="170"/>
      <c r="P133" s="169"/>
      <c r="Q133" s="168"/>
    </row>
    <row r="134" spans="1:17" ht="30">
      <c r="A134" s="181"/>
      <c r="B134" s="146">
        <v>43</v>
      </c>
      <c r="C134" s="176" t="s">
        <v>420</v>
      </c>
      <c r="D134" s="178" t="s">
        <v>172</v>
      </c>
      <c r="E134" s="180">
        <v>9</v>
      </c>
      <c r="F134" s="178"/>
      <c r="G134" s="179">
        <v>500</v>
      </c>
      <c r="H134" s="173">
        <v>4500</v>
      </c>
      <c r="I134" s="178"/>
      <c r="J134" s="155"/>
      <c r="K134" s="155"/>
      <c r="L134" s="172"/>
      <c r="M134" s="170"/>
      <c r="N134" s="171"/>
      <c r="O134" s="170"/>
      <c r="P134" s="169"/>
      <c r="Q134" s="168"/>
    </row>
    <row r="135" spans="1:17" ht="45">
      <c r="A135" s="181"/>
      <c r="B135" s="146">
        <v>44</v>
      </c>
      <c r="C135" s="176" t="s">
        <v>421</v>
      </c>
      <c r="D135" s="178" t="s">
        <v>172</v>
      </c>
      <c r="E135" s="180">
        <v>2</v>
      </c>
      <c r="F135" s="178"/>
      <c r="G135" s="179">
        <v>3000</v>
      </c>
      <c r="H135" s="173">
        <v>6000</v>
      </c>
      <c r="I135" s="178"/>
      <c r="J135" s="155"/>
      <c r="K135" s="155"/>
      <c r="L135" s="172"/>
      <c r="M135" s="170"/>
      <c r="N135" s="171"/>
      <c r="O135" s="170"/>
      <c r="P135" s="169"/>
      <c r="Q135" s="168"/>
    </row>
    <row r="136" spans="1:17" ht="30" hidden="1">
      <c r="A136" s="181"/>
      <c r="B136" s="146">
        <v>45</v>
      </c>
      <c r="C136" s="176" t="s">
        <v>422</v>
      </c>
      <c r="D136" s="178" t="s">
        <v>75</v>
      </c>
      <c r="E136" s="180"/>
      <c r="F136" s="178"/>
      <c r="G136" s="179">
        <v>250</v>
      </c>
      <c r="H136" s="173">
        <v>0</v>
      </c>
      <c r="I136" s="178"/>
      <c r="J136" s="155"/>
      <c r="K136" s="155"/>
      <c r="L136" s="172"/>
      <c r="M136" s="170"/>
      <c r="N136" s="171"/>
      <c r="O136" s="170"/>
      <c r="P136" s="169"/>
      <c r="Q136" s="168"/>
    </row>
    <row r="137" spans="1:17" ht="15.75" hidden="1">
      <c r="A137" s="181"/>
      <c r="B137" s="146">
        <v>46</v>
      </c>
      <c r="C137" s="176" t="s">
        <v>423</v>
      </c>
      <c r="D137" s="178" t="s">
        <v>153</v>
      </c>
      <c r="E137" s="180"/>
      <c r="F137" s="178"/>
      <c r="G137" s="179">
        <v>120</v>
      </c>
      <c r="H137" s="173">
        <v>0</v>
      </c>
      <c r="I137" s="178"/>
      <c r="J137" s="155"/>
      <c r="K137" s="155"/>
      <c r="L137" s="172"/>
      <c r="M137" s="170"/>
      <c r="N137" s="171"/>
      <c r="O137" s="170"/>
      <c r="P137" s="169"/>
      <c r="Q137" s="168"/>
    </row>
    <row r="138" spans="1:17" ht="15.75" hidden="1">
      <c r="A138" s="181"/>
      <c r="B138" s="146">
        <v>47</v>
      </c>
      <c r="C138" s="176" t="s">
        <v>424</v>
      </c>
      <c r="D138" s="178" t="s">
        <v>153</v>
      </c>
      <c r="E138" s="180"/>
      <c r="F138" s="178"/>
      <c r="G138" s="179">
        <v>100</v>
      </c>
      <c r="H138" s="173">
        <v>0</v>
      </c>
      <c r="I138" s="178"/>
      <c r="J138" s="155"/>
      <c r="K138" s="155"/>
      <c r="L138" s="172"/>
      <c r="M138" s="170"/>
      <c r="N138" s="171"/>
      <c r="O138" s="170"/>
      <c r="P138" s="169"/>
      <c r="Q138" s="168"/>
    </row>
    <row r="139" spans="1:17" ht="15.75" hidden="1">
      <c r="A139" s="181"/>
      <c r="B139" s="146">
        <v>48</v>
      </c>
      <c r="C139" s="176" t="s">
        <v>425</v>
      </c>
      <c r="D139" s="178" t="s">
        <v>153</v>
      </c>
      <c r="E139" s="180"/>
      <c r="F139" s="178"/>
      <c r="G139" s="179">
        <v>35</v>
      </c>
      <c r="H139" s="173">
        <v>0</v>
      </c>
      <c r="I139" s="178"/>
      <c r="J139" s="155"/>
      <c r="K139" s="155"/>
      <c r="L139" s="172"/>
      <c r="M139" s="170"/>
      <c r="N139" s="171"/>
      <c r="O139" s="170"/>
      <c r="P139" s="169"/>
      <c r="Q139" s="168"/>
    </row>
    <row r="140" spans="1:17" ht="15.75" hidden="1">
      <c r="A140" s="181"/>
      <c r="B140" s="146">
        <v>49</v>
      </c>
      <c r="C140" s="176" t="s">
        <v>426</v>
      </c>
      <c r="D140" s="178" t="s">
        <v>244</v>
      </c>
      <c r="E140" s="180"/>
      <c r="F140" s="178"/>
      <c r="G140" s="179">
        <v>250</v>
      </c>
      <c r="H140" s="173">
        <v>0</v>
      </c>
      <c r="I140" s="178"/>
      <c r="J140" s="155"/>
      <c r="K140" s="155"/>
      <c r="L140" s="172"/>
      <c r="M140" s="170"/>
      <c r="N140" s="171"/>
      <c r="O140" s="170"/>
      <c r="P140" s="169"/>
      <c r="Q140" s="168"/>
    </row>
    <row r="141" spans="1:17" ht="15.75">
      <c r="A141" s="181"/>
      <c r="B141" s="146">
        <v>50</v>
      </c>
      <c r="C141" s="176" t="s">
        <v>427</v>
      </c>
      <c r="D141" s="178" t="s">
        <v>428</v>
      </c>
      <c r="E141" s="180">
        <v>2</v>
      </c>
      <c r="F141" s="178"/>
      <c r="G141" s="179">
        <v>100</v>
      </c>
      <c r="H141" s="173">
        <v>200</v>
      </c>
      <c r="I141" s="178"/>
      <c r="J141" s="155"/>
      <c r="K141" s="155"/>
      <c r="L141" s="172"/>
      <c r="M141" s="170"/>
      <c r="N141" s="171"/>
      <c r="O141" s="170"/>
      <c r="P141" s="169"/>
      <c r="Q141" s="168"/>
    </row>
    <row r="142" spans="1:17" ht="15.75">
      <c r="A142" s="181"/>
      <c r="B142" s="146">
        <v>51</v>
      </c>
      <c r="C142" s="176" t="s">
        <v>429</v>
      </c>
      <c r="D142" s="178" t="s">
        <v>75</v>
      </c>
      <c r="E142" s="180">
        <v>100</v>
      </c>
      <c r="F142" s="178"/>
      <c r="G142" s="179">
        <v>50</v>
      </c>
      <c r="H142" s="173">
        <v>5000</v>
      </c>
      <c r="I142" s="178"/>
      <c r="J142" s="155"/>
      <c r="K142" s="155"/>
      <c r="L142" s="172"/>
      <c r="M142" s="170"/>
      <c r="N142" s="171"/>
      <c r="O142" s="170"/>
      <c r="P142" s="169"/>
      <c r="Q142" s="168"/>
    </row>
    <row r="143" spans="1:17" ht="30">
      <c r="A143" s="181"/>
      <c r="B143" s="146">
        <v>52</v>
      </c>
      <c r="C143" s="176" t="s">
        <v>430</v>
      </c>
      <c r="D143" s="178" t="s">
        <v>75</v>
      </c>
      <c r="E143" s="180">
        <v>65</v>
      </c>
      <c r="F143" s="178"/>
      <c r="G143" s="179">
        <v>200</v>
      </c>
      <c r="H143" s="173">
        <v>13000</v>
      </c>
      <c r="I143" s="178"/>
      <c r="J143" s="155"/>
      <c r="K143" s="155"/>
      <c r="L143" s="172"/>
      <c r="M143" s="170"/>
      <c r="N143" s="171"/>
      <c r="O143" s="170"/>
      <c r="P143" s="169"/>
      <c r="Q143" s="168"/>
    </row>
    <row r="144" spans="1:17" ht="30">
      <c r="A144" s="181"/>
      <c r="B144" s="146">
        <v>53</v>
      </c>
      <c r="C144" s="176" t="s">
        <v>431</v>
      </c>
      <c r="D144" s="178" t="s">
        <v>75</v>
      </c>
      <c r="E144" s="180">
        <v>40</v>
      </c>
      <c r="F144" s="178"/>
      <c r="G144" s="179">
        <v>180</v>
      </c>
      <c r="H144" s="173">
        <v>7200</v>
      </c>
      <c r="I144" s="178"/>
      <c r="J144" s="155"/>
      <c r="K144" s="155"/>
      <c r="L144" s="172"/>
      <c r="M144" s="170"/>
      <c r="N144" s="171"/>
      <c r="O144" s="170"/>
      <c r="P144" s="169"/>
      <c r="Q144" s="168"/>
    </row>
    <row r="145" spans="1:17" ht="30" hidden="1">
      <c r="A145" s="181"/>
      <c r="B145" s="146">
        <v>54</v>
      </c>
      <c r="C145" s="176" t="s">
        <v>432</v>
      </c>
      <c r="D145" s="178" t="s">
        <v>75</v>
      </c>
      <c r="E145" s="180"/>
      <c r="F145" s="178"/>
      <c r="G145" s="179">
        <v>110</v>
      </c>
      <c r="H145" s="173">
        <v>0</v>
      </c>
      <c r="I145" s="178"/>
      <c r="J145" s="155"/>
      <c r="K145" s="155"/>
      <c r="L145" s="172"/>
      <c r="M145" s="170"/>
      <c r="N145" s="171"/>
      <c r="O145" s="170"/>
      <c r="P145" s="169"/>
      <c r="Q145" s="168"/>
    </row>
    <row r="146" spans="1:17" ht="30">
      <c r="A146" s="181"/>
      <c r="B146" s="146">
        <v>55</v>
      </c>
      <c r="C146" s="176" t="s">
        <v>433</v>
      </c>
      <c r="D146" s="178" t="s">
        <v>75</v>
      </c>
      <c r="E146" s="180">
        <v>80</v>
      </c>
      <c r="F146" s="178"/>
      <c r="G146" s="179">
        <v>65</v>
      </c>
      <c r="H146" s="173">
        <v>5200</v>
      </c>
      <c r="I146" s="178"/>
      <c r="J146" s="155"/>
      <c r="K146" s="155"/>
      <c r="L146" s="172"/>
      <c r="M146" s="170"/>
      <c r="N146" s="171"/>
      <c r="O146" s="170"/>
      <c r="P146" s="169"/>
      <c r="Q146" s="168"/>
    </row>
    <row r="147" spans="1:17" ht="30">
      <c r="A147" s="181"/>
      <c r="B147" s="146">
        <v>56</v>
      </c>
      <c r="C147" s="176" t="s">
        <v>434</v>
      </c>
      <c r="D147" s="178" t="s">
        <v>75</v>
      </c>
      <c r="E147" s="180">
        <v>100</v>
      </c>
      <c r="F147" s="178"/>
      <c r="G147" s="179">
        <v>50</v>
      </c>
      <c r="H147" s="173">
        <v>5000</v>
      </c>
      <c r="I147" s="178"/>
      <c r="J147" s="155"/>
      <c r="K147" s="155"/>
      <c r="L147" s="172"/>
      <c r="M147" s="170"/>
      <c r="N147" s="171"/>
      <c r="O147" s="170"/>
      <c r="P147" s="169"/>
      <c r="Q147" s="168"/>
    </row>
    <row r="148" spans="1:17" ht="30">
      <c r="A148" s="181"/>
      <c r="B148" s="146">
        <v>57</v>
      </c>
      <c r="C148" s="176" t="s">
        <v>435</v>
      </c>
      <c r="D148" s="178" t="s">
        <v>153</v>
      </c>
      <c r="E148" s="180">
        <v>20</v>
      </c>
      <c r="F148" s="178"/>
      <c r="G148" s="179">
        <v>20</v>
      </c>
      <c r="H148" s="173">
        <v>400</v>
      </c>
      <c r="I148" s="178"/>
      <c r="J148" s="155"/>
      <c r="K148" s="155"/>
      <c r="L148" s="172"/>
      <c r="M148" s="170"/>
      <c r="N148" s="171"/>
      <c r="O148" s="170"/>
      <c r="P148" s="169"/>
      <c r="Q148" s="168"/>
    </row>
    <row r="149" spans="1:17" ht="30">
      <c r="A149" s="181"/>
      <c r="B149" s="146">
        <v>58</v>
      </c>
      <c r="C149" s="176" t="s">
        <v>436</v>
      </c>
      <c r="D149" s="178" t="s">
        <v>153</v>
      </c>
      <c r="E149" s="180">
        <v>35</v>
      </c>
      <c r="F149" s="178"/>
      <c r="G149" s="179">
        <v>15</v>
      </c>
      <c r="H149" s="173">
        <v>525</v>
      </c>
      <c r="I149" s="178"/>
      <c r="J149" s="155"/>
      <c r="K149" s="155"/>
      <c r="L149" s="172"/>
      <c r="M149" s="170"/>
      <c r="N149" s="171"/>
      <c r="O149" s="170"/>
      <c r="P149" s="169"/>
      <c r="Q149" s="168"/>
    </row>
    <row r="150" spans="1:17" ht="30">
      <c r="A150" s="181"/>
      <c r="B150" s="146">
        <v>59</v>
      </c>
      <c r="C150" s="176" t="s">
        <v>437</v>
      </c>
      <c r="D150" s="178" t="s">
        <v>153</v>
      </c>
      <c r="E150" s="180">
        <v>20</v>
      </c>
      <c r="F150" s="178"/>
      <c r="G150" s="179">
        <v>20</v>
      </c>
      <c r="H150" s="173">
        <v>400</v>
      </c>
      <c r="I150" s="178"/>
      <c r="J150" s="155"/>
      <c r="K150" s="155"/>
      <c r="L150" s="172"/>
      <c r="M150" s="170"/>
      <c r="N150" s="171"/>
      <c r="O150" s="170"/>
      <c r="P150" s="169"/>
      <c r="Q150" s="168"/>
    </row>
    <row r="151" spans="1:17" ht="30">
      <c r="A151" s="181"/>
      <c r="B151" s="146">
        <v>60</v>
      </c>
      <c r="C151" s="176" t="s">
        <v>438</v>
      </c>
      <c r="D151" s="178" t="s">
        <v>153</v>
      </c>
      <c r="E151" s="180">
        <v>30</v>
      </c>
      <c r="F151" s="178"/>
      <c r="G151" s="179">
        <v>15</v>
      </c>
      <c r="H151" s="173">
        <v>450</v>
      </c>
      <c r="I151" s="178"/>
      <c r="J151" s="155"/>
      <c r="K151" s="155"/>
      <c r="L151" s="172"/>
      <c r="M151" s="170"/>
      <c r="N151" s="171"/>
      <c r="O151" s="170"/>
      <c r="P151" s="169"/>
      <c r="Q151" s="168"/>
    </row>
    <row r="152" spans="1:17" ht="30">
      <c r="A152" s="181"/>
      <c r="B152" s="146">
        <v>61</v>
      </c>
      <c r="C152" s="176" t="s">
        <v>439</v>
      </c>
      <c r="D152" s="178" t="s">
        <v>153</v>
      </c>
      <c r="E152" s="180">
        <v>15</v>
      </c>
      <c r="F152" s="178"/>
      <c r="G152" s="179">
        <v>10</v>
      </c>
      <c r="H152" s="173">
        <v>150</v>
      </c>
      <c r="I152" s="178"/>
      <c r="J152" s="155"/>
      <c r="K152" s="155"/>
      <c r="L152" s="172"/>
      <c r="M152" s="170"/>
      <c r="N152" s="171"/>
      <c r="O152" s="170"/>
      <c r="P152" s="169"/>
      <c r="Q152" s="168"/>
    </row>
    <row r="153" spans="1:17" ht="30">
      <c r="A153" s="181"/>
      <c r="B153" s="146">
        <v>62</v>
      </c>
      <c r="C153" s="176" t="s">
        <v>440</v>
      </c>
      <c r="D153" s="178" t="s">
        <v>244</v>
      </c>
      <c r="E153" s="180">
        <v>15</v>
      </c>
      <c r="F153" s="178"/>
      <c r="G153" s="179">
        <v>80</v>
      </c>
      <c r="H153" s="173">
        <v>1200</v>
      </c>
      <c r="I153" s="178"/>
      <c r="J153" s="155"/>
      <c r="K153" s="155"/>
      <c r="L153" s="172"/>
      <c r="M153" s="170"/>
      <c r="N153" s="171"/>
      <c r="O153" s="170"/>
      <c r="P153" s="169"/>
      <c r="Q153" s="168"/>
    </row>
    <row r="154" spans="1:17" ht="30">
      <c r="A154" s="181"/>
      <c r="B154" s="146">
        <v>63</v>
      </c>
      <c r="C154" s="176" t="s">
        <v>441</v>
      </c>
      <c r="D154" s="178" t="s">
        <v>244</v>
      </c>
      <c r="E154" s="180">
        <v>20</v>
      </c>
      <c r="F154" s="178"/>
      <c r="G154" s="179">
        <v>50</v>
      </c>
      <c r="H154" s="173">
        <v>1000</v>
      </c>
      <c r="I154" s="178"/>
      <c r="J154" s="155"/>
      <c r="K154" s="155"/>
      <c r="L154" s="172"/>
      <c r="M154" s="170"/>
      <c r="N154" s="171"/>
      <c r="O154" s="170"/>
      <c r="P154" s="169"/>
      <c r="Q154" s="168"/>
    </row>
    <row r="155" spans="1:17" ht="30">
      <c r="A155" s="181"/>
      <c r="B155" s="146">
        <v>64</v>
      </c>
      <c r="C155" s="176" t="s">
        <v>442</v>
      </c>
      <c r="D155" s="178" t="s">
        <v>244</v>
      </c>
      <c r="E155" s="180">
        <v>5</v>
      </c>
      <c r="F155" s="178"/>
      <c r="G155" s="179">
        <v>100</v>
      </c>
      <c r="H155" s="173">
        <v>500</v>
      </c>
      <c r="I155" s="178"/>
      <c r="J155" s="155"/>
      <c r="K155" s="155"/>
      <c r="L155" s="172"/>
      <c r="M155" s="170"/>
      <c r="N155" s="171"/>
      <c r="O155" s="170"/>
      <c r="P155" s="169"/>
      <c r="Q155" s="168"/>
    </row>
    <row r="156" spans="1:17" ht="30">
      <c r="A156" s="181"/>
      <c r="B156" s="146">
        <v>65</v>
      </c>
      <c r="C156" s="176" t="s">
        <v>443</v>
      </c>
      <c r="D156" s="178" t="s">
        <v>244</v>
      </c>
      <c r="E156" s="180">
        <v>14</v>
      </c>
      <c r="F156" s="178"/>
      <c r="G156" s="179">
        <v>80</v>
      </c>
      <c r="H156" s="173">
        <v>1120</v>
      </c>
      <c r="I156" s="178"/>
      <c r="J156" s="155"/>
      <c r="K156" s="155"/>
      <c r="L156" s="172"/>
      <c r="M156" s="170"/>
      <c r="N156" s="171"/>
      <c r="O156" s="170"/>
      <c r="P156" s="169"/>
      <c r="Q156" s="168"/>
    </row>
    <row r="157" spans="1:17" ht="30">
      <c r="A157" s="181"/>
      <c r="B157" s="146">
        <v>66</v>
      </c>
      <c r="C157" s="176" t="s">
        <v>444</v>
      </c>
      <c r="D157" s="178" t="s">
        <v>244</v>
      </c>
      <c r="E157" s="180">
        <v>4</v>
      </c>
      <c r="F157" s="178"/>
      <c r="G157" s="179">
        <v>100</v>
      </c>
      <c r="H157" s="173">
        <v>400</v>
      </c>
      <c r="I157" s="178"/>
      <c r="J157" s="155"/>
      <c r="K157" s="155"/>
      <c r="L157" s="172"/>
      <c r="M157" s="170"/>
      <c r="N157" s="171"/>
      <c r="O157" s="170"/>
      <c r="P157" s="169"/>
      <c r="Q157" s="168"/>
    </row>
    <row r="158" spans="1:17" ht="30">
      <c r="A158" s="181"/>
      <c r="B158" s="146">
        <v>67</v>
      </c>
      <c r="C158" s="176" t="s">
        <v>445</v>
      </c>
      <c r="D158" s="178" t="s">
        <v>244</v>
      </c>
      <c r="E158" s="180">
        <v>6</v>
      </c>
      <c r="F158" s="178"/>
      <c r="G158" s="179">
        <v>60</v>
      </c>
      <c r="H158" s="173">
        <v>360</v>
      </c>
      <c r="I158" s="178"/>
      <c r="J158" s="155"/>
      <c r="K158" s="155"/>
      <c r="L158" s="172"/>
      <c r="M158" s="170"/>
      <c r="N158" s="171"/>
      <c r="O158" s="170"/>
      <c r="P158" s="169"/>
      <c r="Q158" s="168"/>
    </row>
    <row r="159" spans="1:17" ht="30">
      <c r="A159" s="181"/>
      <c r="B159" s="146">
        <v>68</v>
      </c>
      <c r="C159" s="176" t="s">
        <v>446</v>
      </c>
      <c r="D159" s="178" t="s">
        <v>244</v>
      </c>
      <c r="E159" s="180">
        <v>10</v>
      </c>
      <c r="F159" s="178"/>
      <c r="G159" s="179">
        <v>80</v>
      </c>
      <c r="H159" s="173">
        <v>800</v>
      </c>
      <c r="I159" s="178"/>
      <c r="J159" s="155"/>
      <c r="K159" s="155"/>
      <c r="L159" s="172"/>
      <c r="M159" s="170"/>
      <c r="N159" s="171"/>
      <c r="O159" s="170"/>
      <c r="P159" s="169"/>
      <c r="Q159" s="168"/>
    </row>
    <row r="160" spans="1:17" ht="15.75">
      <c r="A160" s="181"/>
      <c r="B160" s="146">
        <v>69</v>
      </c>
      <c r="C160" s="176" t="s">
        <v>447</v>
      </c>
      <c r="D160" s="178" t="s">
        <v>11</v>
      </c>
      <c r="E160" s="180">
        <v>40</v>
      </c>
      <c r="F160" s="178"/>
      <c r="G160" s="179">
        <v>150</v>
      </c>
      <c r="H160" s="173">
        <v>6000</v>
      </c>
      <c r="I160" s="178"/>
      <c r="J160" s="155"/>
      <c r="K160" s="155"/>
      <c r="L160" s="172"/>
      <c r="M160" s="170"/>
      <c r="N160" s="171"/>
      <c r="O160" s="170"/>
      <c r="P160" s="169"/>
      <c r="Q160" s="168"/>
    </row>
    <row r="161" spans="1:17" ht="15.75">
      <c r="A161" s="181"/>
      <c r="B161" s="146">
        <v>70</v>
      </c>
      <c r="C161" s="176" t="s">
        <v>448</v>
      </c>
      <c r="D161" s="178" t="s">
        <v>11</v>
      </c>
      <c r="E161" s="180">
        <v>30</v>
      </c>
      <c r="F161" s="178"/>
      <c r="G161" s="179">
        <v>35</v>
      </c>
      <c r="H161" s="173">
        <v>1050</v>
      </c>
      <c r="I161" s="178"/>
      <c r="J161" s="155"/>
      <c r="K161" s="155"/>
      <c r="L161" s="172"/>
      <c r="M161" s="170"/>
      <c r="N161" s="171"/>
      <c r="O161" s="170"/>
      <c r="P161" s="169"/>
      <c r="Q161" s="168"/>
    </row>
    <row r="162" spans="1:17" ht="30" hidden="1">
      <c r="A162" s="181"/>
      <c r="B162" s="146">
        <v>71</v>
      </c>
      <c r="C162" s="176" t="s">
        <v>449</v>
      </c>
      <c r="D162" s="178" t="s">
        <v>75</v>
      </c>
      <c r="E162" s="180"/>
      <c r="F162" s="178"/>
      <c r="G162" s="179">
        <v>730</v>
      </c>
      <c r="H162" s="173">
        <v>0</v>
      </c>
      <c r="I162" s="178"/>
      <c r="J162" s="155"/>
      <c r="K162" s="155"/>
      <c r="L162" s="172"/>
      <c r="M162" s="170"/>
      <c r="N162" s="171"/>
      <c r="O162" s="170"/>
      <c r="P162" s="169"/>
      <c r="Q162" s="168"/>
    </row>
    <row r="163" spans="1:17" ht="30" hidden="1">
      <c r="A163" s="181"/>
      <c r="B163" s="146">
        <v>72</v>
      </c>
      <c r="C163" s="176" t="s">
        <v>450</v>
      </c>
      <c r="D163" s="178" t="s">
        <v>75</v>
      </c>
      <c r="E163" s="180"/>
      <c r="F163" s="178"/>
      <c r="G163" s="179">
        <v>730</v>
      </c>
      <c r="H163" s="173">
        <v>0</v>
      </c>
      <c r="I163" s="178"/>
      <c r="J163" s="155"/>
      <c r="K163" s="155"/>
      <c r="L163" s="172"/>
      <c r="M163" s="170"/>
      <c r="N163" s="171"/>
      <c r="O163" s="170"/>
      <c r="P163" s="169"/>
      <c r="Q163" s="168"/>
    </row>
    <row r="164" spans="1:17" ht="30" hidden="1">
      <c r="A164" s="181"/>
      <c r="B164" s="146">
        <v>73</v>
      </c>
      <c r="C164" s="176" t="s">
        <v>451</v>
      </c>
      <c r="D164" s="178" t="s">
        <v>146</v>
      </c>
      <c r="E164" s="180"/>
      <c r="F164" s="178"/>
      <c r="G164" s="179">
        <v>1000</v>
      </c>
      <c r="H164" s="173">
        <v>0</v>
      </c>
      <c r="I164" s="178"/>
      <c r="J164" s="155"/>
      <c r="K164" s="155"/>
      <c r="L164" s="172"/>
      <c r="M164" s="170"/>
      <c r="N164" s="171"/>
      <c r="O164" s="170"/>
      <c r="P164" s="169"/>
      <c r="Q164" s="168"/>
    </row>
    <row r="165" spans="1:17" ht="30" hidden="1">
      <c r="A165" s="181"/>
      <c r="B165" s="146">
        <v>74</v>
      </c>
      <c r="C165" s="176" t="s">
        <v>452</v>
      </c>
      <c r="D165" s="178" t="s">
        <v>453</v>
      </c>
      <c r="E165" s="180"/>
      <c r="F165" s="178"/>
      <c r="G165" s="179">
        <v>200</v>
      </c>
      <c r="H165" s="173">
        <v>0</v>
      </c>
      <c r="I165" s="178"/>
      <c r="J165" s="155"/>
      <c r="K165" s="155"/>
      <c r="L165" s="172"/>
      <c r="M165" s="170"/>
      <c r="N165" s="171"/>
      <c r="O165" s="170"/>
      <c r="P165" s="169"/>
      <c r="Q165" s="168"/>
    </row>
    <row r="166" spans="1:17" ht="15.75" hidden="1">
      <c r="A166" s="181"/>
      <c r="B166" s="146">
        <v>75</v>
      </c>
      <c r="C166" s="176" t="s">
        <v>454</v>
      </c>
      <c r="D166" s="178" t="s">
        <v>14</v>
      </c>
      <c r="E166" s="180"/>
      <c r="F166" s="178"/>
      <c r="G166" s="179">
        <v>2000</v>
      </c>
      <c r="H166" s="173">
        <v>0</v>
      </c>
      <c r="I166" s="178"/>
      <c r="J166" s="155"/>
      <c r="K166" s="155"/>
      <c r="L166" s="172"/>
      <c r="M166" s="170"/>
      <c r="N166" s="171"/>
      <c r="O166" s="170"/>
      <c r="P166" s="169"/>
      <c r="Q166" s="168"/>
    </row>
    <row r="167" spans="1:17" ht="15.75" hidden="1">
      <c r="A167" s="181"/>
      <c r="B167" s="146">
        <v>76</v>
      </c>
      <c r="C167" s="176" t="s">
        <v>455</v>
      </c>
      <c r="D167" s="178" t="s">
        <v>14</v>
      </c>
      <c r="E167" s="180"/>
      <c r="F167" s="178"/>
      <c r="G167" s="179">
        <v>500</v>
      </c>
      <c r="H167" s="173">
        <v>0</v>
      </c>
      <c r="I167" s="178"/>
      <c r="J167" s="155"/>
      <c r="K167" s="155"/>
      <c r="L167" s="172"/>
      <c r="M167" s="170"/>
      <c r="N167" s="171"/>
      <c r="O167" s="170"/>
      <c r="P167" s="169"/>
      <c r="Q167" s="168"/>
    </row>
    <row r="168" spans="1:17" ht="30" hidden="1">
      <c r="A168" s="181"/>
      <c r="B168" s="146">
        <v>77</v>
      </c>
      <c r="C168" s="176" t="s">
        <v>456</v>
      </c>
      <c r="D168" s="178" t="s">
        <v>244</v>
      </c>
      <c r="E168" s="180"/>
      <c r="F168" s="178"/>
      <c r="G168" s="179">
        <v>60</v>
      </c>
      <c r="H168" s="173">
        <v>0</v>
      </c>
      <c r="I168" s="178"/>
      <c r="J168" s="155"/>
      <c r="K168" s="155"/>
      <c r="L168" s="172"/>
      <c r="M168" s="170"/>
      <c r="N168" s="171"/>
      <c r="O168" s="170"/>
      <c r="P168" s="169"/>
      <c r="Q168" s="168"/>
    </row>
    <row r="169" spans="1:17" ht="30" hidden="1">
      <c r="A169" s="181"/>
      <c r="B169" s="146">
        <v>78</v>
      </c>
      <c r="C169" s="176" t="s">
        <v>457</v>
      </c>
      <c r="D169" s="178" t="s">
        <v>244</v>
      </c>
      <c r="E169" s="180"/>
      <c r="F169" s="178"/>
      <c r="G169" s="179">
        <v>60</v>
      </c>
      <c r="H169" s="173">
        <v>0</v>
      </c>
      <c r="I169" s="178"/>
      <c r="J169" s="155"/>
      <c r="K169" s="155"/>
      <c r="L169" s="172"/>
      <c r="M169" s="170"/>
      <c r="N169" s="171"/>
      <c r="O169" s="170"/>
      <c r="P169" s="169"/>
      <c r="Q169" s="168"/>
    </row>
    <row r="170" spans="1:17" ht="30" hidden="1">
      <c r="A170" s="181"/>
      <c r="B170" s="146">
        <v>79</v>
      </c>
      <c r="C170" s="176" t="s">
        <v>458</v>
      </c>
      <c r="D170" s="178" t="s">
        <v>244</v>
      </c>
      <c r="E170" s="180"/>
      <c r="F170" s="178"/>
      <c r="G170" s="179">
        <v>60</v>
      </c>
      <c r="H170" s="173">
        <v>0</v>
      </c>
      <c r="I170" s="178"/>
      <c r="J170" s="155"/>
      <c r="K170" s="155"/>
      <c r="L170" s="172"/>
      <c r="M170" s="170"/>
      <c r="N170" s="171"/>
      <c r="O170" s="170"/>
      <c r="P170" s="169"/>
      <c r="Q170" s="168"/>
    </row>
    <row r="171" spans="1:17" ht="15.75" hidden="1">
      <c r="A171" s="181"/>
      <c r="B171" s="146">
        <v>80</v>
      </c>
      <c r="C171" s="176" t="s">
        <v>459</v>
      </c>
      <c r="D171" s="178" t="s">
        <v>75</v>
      </c>
      <c r="E171" s="180"/>
      <c r="F171" s="178"/>
      <c r="G171" s="179">
        <v>350</v>
      </c>
      <c r="H171" s="173">
        <v>0</v>
      </c>
      <c r="I171" s="178"/>
      <c r="J171" s="155"/>
      <c r="K171" s="155"/>
      <c r="L171" s="172"/>
      <c r="M171" s="170"/>
      <c r="N171" s="171"/>
      <c r="O171" s="170"/>
      <c r="P171" s="169"/>
      <c r="Q171" s="168"/>
    </row>
    <row r="172" spans="1:17" ht="30" hidden="1">
      <c r="A172" s="181"/>
      <c r="B172" s="146">
        <v>81</v>
      </c>
      <c r="C172" s="176" t="s">
        <v>460</v>
      </c>
      <c r="D172" s="178" t="s">
        <v>244</v>
      </c>
      <c r="E172" s="180"/>
      <c r="F172" s="178"/>
      <c r="G172" s="179">
        <v>400</v>
      </c>
      <c r="H172" s="173">
        <v>0</v>
      </c>
      <c r="I172" s="178"/>
      <c r="J172" s="155"/>
      <c r="K172" s="155"/>
      <c r="L172" s="172"/>
      <c r="M172" s="170"/>
      <c r="N172" s="171"/>
      <c r="O172" s="170"/>
      <c r="P172" s="169"/>
      <c r="Q172" s="168"/>
    </row>
    <row r="173" spans="1:17" ht="30" hidden="1">
      <c r="A173" s="181"/>
      <c r="B173" s="146">
        <v>82</v>
      </c>
      <c r="C173" s="176" t="s">
        <v>461</v>
      </c>
      <c r="D173" s="178" t="s">
        <v>244</v>
      </c>
      <c r="E173" s="180"/>
      <c r="F173" s="178"/>
      <c r="G173" s="179">
        <v>50</v>
      </c>
      <c r="H173" s="173">
        <v>0</v>
      </c>
      <c r="I173" s="178"/>
      <c r="J173" s="155"/>
      <c r="K173" s="155"/>
      <c r="L173" s="172"/>
      <c r="M173" s="170"/>
      <c r="N173" s="171"/>
      <c r="O173" s="170"/>
      <c r="P173" s="169"/>
      <c r="Q173" s="168"/>
    </row>
    <row r="174" spans="1:17" ht="30">
      <c r="A174" s="181"/>
      <c r="B174" s="146">
        <v>83</v>
      </c>
      <c r="C174" s="176" t="s">
        <v>462</v>
      </c>
      <c r="D174" s="178" t="s">
        <v>463</v>
      </c>
      <c r="E174" s="180">
        <v>6</v>
      </c>
      <c r="F174" s="178"/>
      <c r="G174" s="179">
        <v>10500</v>
      </c>
      <c r="H174" s="173">
        <v>63000</v>
      </c>
      <c r="I174" s="178"/>
      <c r="J174" s="155"/>
      <c r="K174" s="155"/>
      <c r="L174" s="172"/>
      <c r="M174" s="170"/>
      <c r="N174" s="171"/>
      <c r="O174" s="170"/>
      <c r="P174" s="169"/>
      <c r="Q174" s="168"/>
    </row>
    <row r="175" spans="1:17" ht="30">
      <c r="A175" s="181"/>
      <c r="B175" s="146">
        <v>84</v>
      </c>
      <c r="C175" s="176" t="s">
        <v>464</v>
      </c>
      <c r="D175" s="178" t="s">
        <v>244</v>
      </c>
      <c r="E175" s="180">
        <v>1</v>
      </c>
      <c r="F175" s="178"/>
      <c r="G175" s="179">
        <v>26000</v>
      </c>
      <c r="H175" s="173">
        <v>26000</v>
      </c>
      <c r="I175" s="178"/>
      <c r="J175" s="155"/>
      <c r="K175" s="155"/>
      <c r="L175" s="172"/>
      <c r="M175" s="170"/>
      <c r="N175" s="171"/>
      <c r="O175" s="170"/>
      <c r="P175" s="169"/>
      <c r="Q175" s="168"/>
    </row>
    <row r="176" spans="1:17" ht="30">
      <c r="A176" s="181"/>
      <c r="B176" s="146">
        <v>85</v>
      </c>
      <c r="C176" s="176" t="s">
        <v>465</v>
      </c>
      <c r="D176" s="178" t="s">
        <v>244</v>
      </c>
      <c r="E176" s="180">
        <v>1</v>
      </c>
      <c r="F176" s="178"/>
      <c r="G176" s="179">
        <v>30000</v>
      </c>
      <c r="H176" s="173">
        <v>30000</v>
      </c>
      <c r="I176" s="178"/>
      <c r="J176" s="155"/>
      <c r="K176" s="155"/>
      <c r="L176" s="172"/>
      <c r="M176" s="170"/>
      <c r="N176" s="171"/>
      <c r="O176" s="170"/>
      <c r="P176" s="169"/>
      <c r="Q176" s="168"/>
    </row>
    <row r="177" spans="1:17" ht="30">
      <c r="A177" s="181"/>
      <c r="B177" s="146">
        <v>86</v>
      </c>
      <c r="C177" s="176" t="s">
        <v>466</v>
      </c>
      <c r="D177" s="178" t="s">
        <v>214</v>
      </c>
      <c r="E177" s="180">
        <v>1</v>
      </c>
      <c r="F177" s="178"/>
      <c r="G177" s="179">
        <v>18000</v>
      </c>
      <c r="H177" s="173">
        <v>18000</v>
      </c>
      <c r="I177" s="178"/>
      <c r="J177" s="155"/>
      <c r="K177" s="155"/>
      <c r="L177" s="172"/>
      <c r="M177" s="170"/>
      <c r="N177" s="171"/>
      <c r="O177" s="170"/>
      <c r="P177" s="169"/>
      <c r="Q177" s="168"/>
    </row>
    <row r="178" spans="1:17" ht="30">
      <c r="A178" s="181"/>
      <c r="B178" s="146">
        <v>87</v>
      </c>
      <c r="C178" s="176" t="s">
        <v>467</v>
      </c>
      <c r="D178" s="178" t="s">
        <v>75</v>
      </c>
      <c r="E178" s="180">
        <v>90</v>
      </c>
      <c r="F178" s="178"/>
      <c r="G178" s="179">
        <v>145</v>
      </c>
      <c r="H178" s="173">
        <v>13050</v>
      </c>
      <c r="I178" s="178"/>
      <c r="J178" s="155"/>
      <c r="K178" s="155"/>
      <c r="L178" s="172"/>
      <c r="M178" s="170"/>
      <c r="N178" s="171"/>
      <c r="O178" s="170"/>
      <c r="P178" s="169"/>
      <c r="Q178" s="168"/>
    </row>
    <row r="179" spans="1:17" ht="30">
      <c r="A179" s="181"/>
      <c r="B179" s="146">
        <v>88</v>
      </c>
      <c r="C179" s="176" t="s">
        <v>468</v>
      </c>
      <c r="D179" s="178" t="s">
        <v>75</v>
      </c>
      <c r="E179" s="180">
        <v>15</v>
      </c>
      <c r="F179" s="178"/>
      <c r="G179" s="179">
        <v>110</v>
      </c>
      <c r="H179" s="173">
        <v>1650</v>
      </c>
      <c r="I179" s="178"/>
      <c r="J179" s="155"/>
      <c r="K179" s="155"/>
      <c r="L179" s="172"/>
      <c r="M179" s="170"/>
      <c r="N179" s="171"/>
      <c r="O179" s="170"/>
      <c r="P179" s="169"/>
      <c r="Q179" s="168"/>
    </row>
    <row r="180" spans="1:17" ht="30">
      <c r="A180" s="181"/>
      <c r="B180" s="146">
        <v>89</v>
      </c>
      <c r="C180" s="176" t="s">
        <v>469</v>
      </c>
      <c r="D180" s="178" t="s">
        <v>75</v>
      </c>
      <c r="E180" s="180">
        <v>110</v>
      </c>
      <c r="F180" s="178"/>
      <c r="G180" s="179">
        <v>20</v>
      </c>
      <c r="H180" s="173">
        <v>2200</v>
      </c>
      <c r="I180" s="178"/>
      <c r="J180" s="155"/>
      <c r="K180" s="155"/>
      <c r="L180" s="172"/>
      <c r="M180" s="170"/>
      <c r="N180" s="171"/>
      <c r="O180" s="170"/>
      <c r="P180" s="169"/>
      <c r="Q180" s="168"/>
    </row>
    <row r="181" spans="1:17" ht="30">
      <c r="A181" s="181"/>
      <c r="B181" s="146">
        <v>90</v>
      </c>
      <c r="C181" s="176" t="s">
        <v>470</v>
      </c>
      <c r="D181" s="178" t="s">
        <v>244</v>
      </c>
      <c r="E181" s="180">
        <v>1</v>
      </c>
      <c r="F181" s="178"/>
      <c r="G181" s="179">
        <v>2000</v>
      </c>
      <c r="H181" s="173">
        <v>2000</v>
      </c>
      <c r="I181" s="178"/>
      <c r="J181" s="155"/>
      <c r="K181" s="155"/>
      <c r="L181" s="172"/>
      <c r="M181" s="170"/>
      <c r="N181" s="171"/>
      <c r="O181" s="170"/>
      <c r="P181" s="169"/>
      <c r="Q181" s="168"/>
    </row>
    <row r="182" spans="1:17" ht="30">
      <c r="A182" s="181"/>
      <c r="B182" s="146">
        <v>91</v>
      </c>
      <c r="C182" s="176" t="s">
        <v>471</v>
      </c>
      <c r="D182" s="178" t="s">
        <v>244</v>
      </c>
      <c r="E182" s="180">
        <v>1</v>
      </c>
      <c r="F182" s="178"/>
      <c r="G182" s="179">
        <v>1000</v>
      </c>
      <c r="H182" s="173">
        <v>1000</v>
      </c>
      <c r="I182" s="178"/>
      <c r="J182" s="155"/>
      <c r="K182" s="155"/>
      <c r="L182" s="172"/>
      <c r="M182" s="170"/>
      <c r="N182" s="171"/>
      <c r="O182" s="170"/>
      <c r="P182" s="169"/>
      <c r="Q182" s="168"/>
    </row>
    <row r="183" spans="1:17" ht="30">
      <c r="A183" s="181"/>
      <c r="B183" s="146">
        <v>92</v>
      </c>
      <c r="C183" s="176" t="s">
        <v>472</v>
      </c>
      <c r="D183" s="178" t="s">
        <v>453</v>
      </c>
      <c r="E183" s="180">
        <v>1</v>
      </c>
      <c r="F183" s="178"/>
      <c r="G183" s="179">
        <v>6000</v>
      </c>
      <c r="H183" s="173">
        <v>6000</v>
      </c>
      <c r="I183" s="178"/>
      <c r="J183" s="155"/>
      <c r="K183" s="155"/>
      <c r="L183" s="172"/>
      <c r="M183" s="170"/>
      <c r="N183" s="171"/>
      <c r="O183" s="170"/>
      <c r="P183" s="169"/>
      <c r="Q183" s="168"/>
    </row>
    <row r="184" spans="1:17" ht="30">
      <c r="A184" s="181"/>
      <c r="B184" s="146">
        <v>93</v>
      </c>
      <c r="C184" s="176" t="s">
        <v>473</v>
      </c>
      <c r="D184" s="178" t="s">
        <v>75</v>
      </c>
      <c r="E184" s="180">
        <v>30</v>
      </c>
      <c r="F184" s="178"/>
      <c r="G184" s="179">
        <v>50</v>
      </c>
      <c r="H184" s="173">
        <v>1500</v>
      </c>
      <c r="I184" s="178"/>
      <c r="J184" s="155"/>
      <c r="K184" s="155"/>
      <c r="L184" s="172"/>
      <c r="M184" s="170"/>
      <c r="N184" s="171"/>
      <c r="O184" s="170"/>
      <c r="P184" s="169"/>
      <c r="Q184" s="168"/>
    </row>
    <row r="185" spans="1:17" ht="30">
      <c r="A185" s="181"/>
      <c r="B185" s="146">
        <v>94</v>
      </c>
      <c r="C185" s="176" t="s">
        <v>474</v>
      </c>
      <c r="D185" s="178" t="s">
        <v>214</v>
      </c>
      <c r="E185" s="180">
        <v>1</v>
      </c>
      <c r="F185" s="178"/>
      <c r="G185" s="179">
        <v>6000</v>
      </c>
      <c r="H185" s="173">
        <v>6000</v>
      </c>
      <c r="I185" s="178"/>
      <c r="J185" s="155"/>
      <c r="K185" s="155"/>
      <c r="L185" s="172"/>
      <c r="M185" s="170"/>
      <c r="N185" s="171"/>
      <c r="O185" s="170"/>
      <c r="P185" s="169"/>
      <c r="Q185" s="168"/>
    </row>
    <row r="186" spans="1:17" ht="30">
      <c r="A186" s="181"/>
      <c r="B186" s="146">
        <v>95</v>
      </c>
      <c r="C186" s="176" t="s">
        <v>475</v>
      </c>
      <c r="D186" s="178" t="s">
        <v>75</v>
      </c>
      <c r="E186" s="180">
        <v>80</v>
      </c>
      <c r="F186" s="178"/>
      <c r="G186" s="179">
        <v>20</v>
      </c>
      <c r="H186" s="173">
        <v>1600</v>
      </c>
      <c r="I186" s="178"/>
      <c r="J186" s="155"/>
      <c r="K186" s="155"/>
      <c r="L186" s="172"/>
      <c r="M186" s="170"/>
      <c r="N186" s="171"/>
      <c r="O186" s="170"/>
      <c r="P186" s="169"/>
      <c r="Q186" s="168"/>
    </row>
    <row r="187" spans="1:17" ht="30">
      <c r="A187" s="181"/>
      <c r="B187" s="146">
        <v>96</v>
      </c>
      <c r="C187" s="176" t="s">
        <v>476</v>
      </c>
      <c r="D187" s="178" t="s">
        <v>214</v>
      </c>
      <c r="E187" s="180">
        <v>1</v>
      </c>
      <c r="F187" s="178"/>
      <c r="G187" s="179">
        <v>1000</v>
      </c>
      <c r="H187" s="173">
        <v>1000</v>
      </c>
      <c r="I187" s="178"/>
      <c r="J187" s="155"/>
      <c r="K187" s="155"/>
      <c r="L187" s="172"/>
      <c r="M187" s="170"/>
      <c r="N187" s="171"/>
      <c r="O187" s="170"/>
      <c r="P187" s="169"/>
      <c r="Q187" s="168"/>
    </row>
    <row r="188" spans="1:17" ht="30">
      <c r="A188" s="181"/>
      <c r="B188" s="146">
        <v>97</v>
      </c>
      <c r="C188" s="176" t="s">
        <v>477</v>
      </c>
      <c r="D188" s="178" t="s">
        <v>214</v>
      </c>
      <c r="E188" s="180">
        <v>1</v>
      </c>
      <c r="F188" s="178"/>
      <c r="G188" s="179">
        <v>2000</v>
      </c>
      <c r="H188" s="173">
        <v>2000</v>
      </c>
      <c r="I188" s="178"/>
      <c r="J188" s="155"/>
      <c r="K188" s="155"/>
      <c r="L188" s="172"/>
      <c r="M188" s="170"/>
      <c r="N188" s="171"/>
      <c r="O188" s="170"/>
      <c r="P188" s="169"/>
      <c r="Q188" s="168"/>
    </row>
    <row r="189" spans="1:17" ht="30">
      <c r="A189" s="181"/>
      <c r="B189" s="146">
        <v>98</v>
      </c>
      <c r="C189" s="176" t="s">
        <v>478</v>
      </c>
      <c r="D189" s="178" t="s">
        <v>75</v>
      </c>
      <c r="E189" s="180">
        <v>30</v>
      </c>
      <c r="F189" s="178"/>
      <c r="G189" s="179">
        <v>140</v>
      </c>
      <c r="H189" s="173">
        <v>4200</v>
      </c>
      <c r="I189" s="178"/>
      <c r="J189" s="155"/>
      <c r="K189" s="155"/>
      <c r="L189" s="172"/>
      <c r="M189" s="170"/>
      <c r="N189" s="171"/>
      <c r="O189" s="170"/>
      <c r="P189" s="169"/>
      <c r="Q189" s="168"/>
    </row>
    <row r="190" spans="1:17" ht="30">
      <c r="A190" s="181"/>
      <c r="B190" s="146">
        <v>99</v>
      </c>
      <c r="C190" s="176" t="s">
        <v>479</v>
      </c>
      <c r="D190" s="178" t="s">
        <v>214</v>
      </c>
      <c r="E190" s="180">
        <v>1</v>
      </c>
      <c r="F190" s="178"/>
      <c r="G190" s="179">
        <v>1200</v>
      </c>
      <c r="H190" s="173">
        <v>1200</v>
      </c>
      <c r="I190" s="178"/>
      <c r="J190" s="155"/>
      <c r="K190" s="155"/>
      <c r="L190" s="172"/>
      <c r="M190" s="170"/>
      <c r="N190" s="171"/>
      <c r="O190" s="170"/>
      <c r="P190" s="169"/>
      <c r="Q190" s="168"/>
    </row>
    <row r="191" spans="1:17" ht="30">
      <c r="A191" s="181"/>
      <c r="B191" s="146">
        <v>100</v>
      </c>
      <c r="C191" s="176" t="s">
        <v>480</v>
      </c>
      <c r="D191" s="178" t="s">
        <v>75</v>
      </c>
      <c r="E191" s="180">
        <v>90</v>
      </c>
      <c r="F191" s="178"/>
      <c r="G191" s="179">
        <v>45</v>
      </c>
      <c r="H191" s="173">
        <v>4050</v>
      </c>
      <c r="I191" s="178"/>
      <c r="J191" s="155"/>
      <c r="K191" s="155"/>
      <c r="L191" s="172"/>
      <c r="M191" s="170"/>
      <c r="N191" s="171"/>
      <c r="O191" s="170"/>
      <c r="P191" s="169"/>
      <c r="Q191" s="168"/>
    </row>
    <row r="192" spans="1:17" ht="15.75">
      <c r="A192" s="181"/>
      <c r="B192" s="146">
        <v>101</v>
      </c>
      <c r="C192" s="176" t="s">
        <v>481</v>
      </c>
      <c r="D192" s="178" t="s">
        <v>75</v>
      </c>
      <c r="E192" s="180">
        <v>200</v>
      </c>
      <c r="F192" s="178"/>
      <c r="G192" s="179">
        <v>42</v>
      </c>
      <c r="H192" s="173">
        <v>8400</v>
      </c>
      <c r="I192" s="178"/>
      <c r="J192" s="155"/>
      <c r="K192" s="155"/>
      <c r="L192" s="172"/>
      <c r="M192" s="170"/>
      <c r="N192" s="171"/>
      <c r="O192" s="170"/>
      <c r="P192" s="169"/>
      <c r="Q192" s="168"/>
    </row>
    <row r="193" spans="1:17" ht="15.75">
      <c r="A193" s="181"/>
      <c r="B193" s="146">
        <v>102</v>
      </c>
      <c r="C193" s="176" t="s">
        <v>482</v>
      </c>
      <c r="D193" s="178" t="s">
        <v>153</v>
      </c>
      <c r="E193" s="180">
        <v>7</v>
      </c>
      <c r="F193" s="178"/>
      <c r="G193" s="179">
        <v>42</v>
      </c>
      <c r="H193" s="173">
        <v>294</v>
      </c>
      <c r="I193" s="178"/>
      <c r="J193" s="155"/>
      <c r="K193" s="155"/>
      <c r="L193" s="172"/>
      <c r="M193" s="170"/>
      <c r="N193" s="171"/>
      <c r="O193" s="170"/>
      <c r="P193" s="169"/>
      <c r="Q193" s="168"/>
    </row>
    <row r="194" spans="1:17" ht="15.75">
      <c r="A194" s="181"/>
      <c r="B194" s="146">
        <v>103</v>
      </c>
      <c r="C194" s="176" t="s">
        <v>483</v>
      </c>
      <c r="D194" s="178" t="s">
        <v>153</v>
      </c>
      <c r="E194" s="180">
        <v>7</v>
      </c>
      <c r="F194" s="178"/>
      <c r="G194" s="179">
        <v>42</v>
      </c>
      <c r="H194" s="173">
        <v>294</v>
      </c>
      <c r="I194" s="178"/>
      <c r="J194" s="155"/>
      <c r="K194" s="155"/>
      <c r="L194" s="172"/>
      <c r="M194" s="170"/>
      <c r="N194" s="171"/>
      <c r="O194" s="170"/>
      <c r="P194" s="169"/>
      <c r="Q194" s="168"/>
    </row>
    <row r="195" spans="1:17" ht="30">
      <c r="A195" s="181"/>
      <c r="B195" s="146">
        <v>104</v>
      </c>
      <c r="C195" s="176" t="s">
        <v>484</v>
      </c>
      <c r="D195" s="178" t="s">
        <v>153</v>
      </c>
      <c r="E195" s="180">
        <v>4</v>
      </c>
      <c r="F195" s="178"/>
      <c r="G195" s="179">
        <v>10000</v>
      </c>
      <c r="H195" s="173">
        <v>40000</v>
      </c>
      <c r="I195" s="178"/>
      <c r="J195" s="155"/>
      <c r="K195" s="155"/>
      <c r="L195" s="172"/>
      <c r="M195" s="170"/>
      <c r="N195" s="171"/>
      <c r="O195" s="170"/>
      <c r="P195" s="169"/>
      <c r="Q195" s="168"/>
    </row>
    <row r="196" spans="1:17" ht="15.75">
      <c r="A196" s="181"/>
      <c r="B196" s="146">
        <v>105</v>
      </c>
      <c r="C196" s="176" t="s">
        <v>485</v>
      </c>
      <c r="D196" s="178" t="s">
        <v>153</v>
      </c>
      <c r="E196" s="180">
        <v>22</v>
      </c>
      <c r="F196" s="178"/>
      <c r="G196" s="179">
        <v>60</v>
      </c>
      <c r="H196" s="173">
        <v>1320</v>
      </c>
      <c r="I196" s="178"/>
      <c r="J196" s="155"/>
      <c r="K196" s="155"/>
      <c r="L196" s="172"/>
      <c r="M196" s="170"/>
      <c r="N196" s="171"/>
      <c r="O196" s="170"/>
      <c r="P196" s="169"/>
      <c r="Q196" s="168"/>
    </row>
    <row r="197" spans="1:17" ht="15.75">
      <c r="A197" s="181"/>
      <c r="B197" s="146">
        <v>106</v>
      </c>
      <c r="C197" s="176" t="s">
        <v>486</v>
      </c>
      <c r="D197" s="178" t="s">
        <v>172</v>
      </c>
      <c r="E197" s="180">
        <v>1</v>
      </c>
      <c r="F197" s="178"/>
      <c r="G197" s="179">
        <v>5000</v>
      </c>
      <c r="H197" s="173">
        <v>5000</v>
      </c>
      <c r="I197" s="178"/>
      <c r="J197" s="155"/>
      <c r="K197" s="155"/>
      <c r="L197" s="172"/>
      <c r="M197" s="170"/>
      <c r="N197" s="171"/>
      <c r="O197" s="170"/>
      <c r="P197" s="169"/>
      <c r="Q197" s="168"/>
    </row>
    <row r="198" spans="1:17" ht="30">
      <c r="A198" s="181"/>
      <c r="B198" s="146">
        <v>107</v>
      </c>
      <c r="C198" s="176" t="s">
        <v>487</v>
      </c>
      <c r="D198" s="178" t="s">
        <v>11</v>
      </c>
      <c r="E198" s="180">
        <v>38</v>
      </c>
      <c r="F198" s="178"/>
      <c r="G198" s="179">
        <v>250</v>
      </c>
      <c r="H198" s="173">
        <v>9500</v>
      </c>
      <c r="I198" s="178"/>
      <c r="J198" s="155"/>
      <c r="K198" s="155"/>
      <c r="L198" s="172"/>
      <c r="M198" s="170"/>
      <c r="N198" s="171"/>
      <c r="O198" s="170"/>
      <c r="P198" s="169"/>
      <c r="Q198" s="168"/>
    </row>
    <row r="199" spans="1:17" ht="15.75">
      <c r="A199" s="181"/>
      <c r="B199" s="146">
        <v>108</v>
      </c>
      <c r="C199" s="176" t="s">
        <v>488</v>
      </c>
      <c r="D199" s="178" t="s">
        <v>172</v>
      </c>
      <c r="E199" s="180">
        <v>1</v>
      </c>
      <c r="F199" s="178"/>
      <c r="G199" s="179">
        <v>500</v>
      </c>
      <c r="H199" s="173">
        <v>500</v>
      </c>
      <c r="I199" s="178"/>
      <c r="J199" s="155"/>
      <c r="K199" s="155"/>
      <c r="L199" s="172"/>
      <c r="M199" s="170"/>
      <c r="N199" s="171"/>
      <c r="O199" s="170"/>
      <c r="P199" s="169"/>
      <c r="Q199" s="168"/>
    </row>
    <row r="200" spans="1:17" ht="30">
      <c r="A200" s="181"/>
      <c r="B200" s="146">
        <v>109</v>
      </c>
      <c r="C200" s="176" t="s">
        <v>489</v>
      </c>
      <c r="D200" s="178" t="s">
        <v>75</v>
      </c>
      <c r="E200" s="180">
        <v>18</v>
      </c>
      <c r="F200" s="178"/>
      <c r="G200" s="179">
        <v>220</v>
      </c>
      <c r="H200" s="173">
        <v>3960</v>
      </c>
      <c r="I200" s="178"/>
      <c r="J200" s="155"/>
      <c r="K200" s="155"/>
      <c r="L200" s="172"/>
      <c r="M200" s="170"/>
      <c r="N200" s="171"/>
      <c r="O200" s="170"/>
      <c r="P200" s="169"/>
      <c r="Q200" s="168"/>
    </row>
    <row r="201" spans="1:17" ht="30">
      <c r="A201" s="181"/>
      <c r="B201" s="146">
        <v>110</v>
      </c>
      <c r="C201" s="176" t="s">
        <v>490</v>
      </c>
      <c r="D201" s="178" t="s">
        <v>491</v>
      </c>
      <c r="E201" s="180">
        <v>2</v>
      </c>
      <c r="F201" s="178"/>
      <c r="G201" s="179">
        <v>3000</v>
      </c>
      <c r="H201" s="173">
        <v>6000</v>
      </c>
      <c r="I201" s="178"/>
      <c r="J201" s="155"/>
      <c r="K201" s="155"/>
      <c r="L201" s="172"/>
      <c r="M201" s="170"/>
      <c r="N201" s="171"/>
      <c r="O201" s="170"/>
      <c r="P201" s="169"/>
      <c r="Q201" s="168"/>
    </row>
    <row r="202" spans="1:17" ht="15.75" hidden="1">
      <c r="A202" s="181"/>
      <c r="B202" s="146">
        <v>111</v>
      </c>
      <c r="C202" s="176" t="s">
        <v>492</v>
      </c>
      <c r="D202" s="178" t="s">
        <v>75</v>
      </c>
      <c r="E202" s="180"/>
      <c r="F202" s="178"/>
      <c r="G202" s="179">
        <v>200</v>
      </c>
      <c r="H202" s="173">
        <v>0</v>
      </c>
      <c r="I202" s="178"/>
      <c r="J202" s="155"/>
      <c r="K202" s="155"/>
      <c r="L202" s="172"/>
      <c r="M202" s="170"/>
      <c r="N202" s="171"/>
      <c r="O202" s="170"/>
      <c r="P202" s="169"/>
      <c r="Q202" s="168"/>
    </row>
    <row r="203" spans="1:17" ht="30" hidden="1">
      <c r="A203" s="181"/>
      <c r="B203" s="146">
        <v>112</v>
      </c>
      <c r="C203" s="176" t="s">
        <v>493</v>
      </c>
      <c r="D203" s="178" t="s">
        <v>11</v>
      </c>
      <c r="E203" s="180"/>
      <c r="F203" s="178"/>
      <c r="G203" s="179">
        <v>150</v>
      </c>
      <c r="H203" s="173">
        <v>0</v>
      </c>
      <c r="I203" s="178"/>
      <c r="J203" s="155"/>
      <c r="K203" s="155"/>
      <c r="L203" s="172"/>
      <c r="M203" s="170"/>
      <c r="N203" s="171"/>
      <c r="O203" s="170"/>
      <c r="P203" s="169"/>
      <c r="Q203" s="168"/>
    </row>
    <row r="204" spans="1:17" ht="30" hidden="1">
      <c r="A204" s="181"/>
      <c r="B204" s="146">
        <v>113</v>
      </c>
      <c r="C204" s="176" t="s">
        <v>494</v>
      </c>
      <c r="D204" s="178" t="s">
        <v>14</v>
      </c>
      <c r="E204" s="180"/>
      <c r="F204" s="178"/>
      <c r="G204" s="179">
        <v>350</v>
      </c>
      <c r="H204" s="173">
        <v>0</v>
      </c>
      <c r="I204" s="178"/>
      <c r="J204" s="155"/>
      <c r="K204" s="155"/>
      <c r="L204" s="172"/>
      <c r="M204" s="170"/>
      <c r="N204" s="171"/>
      <c r="O204" s="170"/>
      <c r="P204" s="169"/>
      <c r="Q204" s="168"/>
    </row>
    <row r="205" spans="1:17" ht="15.75">
      <c r="A205" s="181"/>
      <c r="B205" s="146">
        <v>114</v>
      </c>
      <c r="C205" s="176" t="s">
        <v>495</v>
      </c>
      <c r="D205" s="178" t="s">
        <v>88</v>
      </c>
      <c r="E205" s="180">
        <v>1</v>
      </c>
      <c r="F205" s="178"/>
      <c r="G205" s="179">
        <v>50000</v>
      </c>
      <c r="H205" s="173">
        <v>50000</v>
      </c>
      <c r="I205" s="178"/>
      <c r="J205" s="155"/>
      <c r="K205" s="155"/>
      <c r="L205" s="172"/>
      <c r="M205" s="170"/>
      <c r="N205" s="171"/>
      <c r="O205" s="170"/>
      <c r="P205" s="169"/>
      <c r="Q205" s="168"/>
    </row>
    <row r="206" spans="1:17" ht="15.75">
      <c r="A206" s="181"/>
      <c r="B206" s="146">
        <v>115</v>
      </c>
      <c r="C206" s="176" t="s">
        <v>496</v>
      </c>
      <c r="D206" s="178" t="s">
        <v>88</v>
      </c>
      <c r="E206" s="180">
        <v>1</v>
      </c>
      <c r="F206" s="178"/>
      <c r="G206" s="179">
        <v>25407</v>
      </c>
      <c r="H206" s="173">
        <v>25407</v>
      </c>
      <c r="I206" s="178"/>
      <c r="J206" s="155"/>
      <c r="K206" s="155"/>
      <c r="L206" s="172"/>
      <c r="M206" s="170"/>
      <c r="N206" s="171"/>
      <c r="O206" s="170"/>
      <c r="P206" s="169"/>
      <c r="Q206" s="168"/>
    </row>
    <row r="207" spans="1:17" ht="15.75">
      <c r="A207" s="286" t="s">
        <v>497</v>
      </c>
      <c r="B207" s="287"/>
      <c r="C207" s="287"/>
      <c r="D207" s="287"/>
      <c r="E207" s="287"/>
      <c r="F207" s="287"/>
      <c r="G207" s="288"/>
      <c r="H207" s="209">
        <f>SUM(H92:H206)</f>
        <v>878251.65045999992</v>
      </c>
      <c r="I207" s="165"/>
      <c r="J207" s="164"/>
      <c r="K207" s="163"/>
      <c r="L207" s="163"/>
      <c r="M207" s="163"/>
      <c r="N207" s="163"/>
      <c r="O207" s="162"/>
      <c r="P207" s="258"/>
      <c r="Q207" s="258"/>
    </row>
    <row r="208" spans="1:17" ht="15.75">
      <c r="A208" s="286" t="s">
        <v>498</v>
      </c>
      <c r="B208" s="287"/>
      <c r="C208" s="287"/>
      <c r="D208" s="287"/>
      <c r="E208" s="287"/>
      <c r="F208" s="287"/>
      <c r="G208" s="288"/>
      <c r="H208" s="209">
        <f>H207/71</f>
        <v>12369.741555774646</v>
      </c>
      <c r="I208" s="165"/>
      <c r="J208" s="164"/>
      <c r="K208" s="163"/>
      <c r="L208" s="163"/>
      <c r="M208" s="163"/>
      <c r="N208" s="163"/>
      <c r="O208" s="162"/>
      <c r="P208" s="258"/>
      <c r="Q208" s="258"/>
    </row>
    <row r="209" spans="1:17" ht="15.75">
      <c r="A209" s="289" t="s">
        <v>499</v>
      </c>
      <c r="B209" s="290"/>
      <c r="C209" s="290"/>
      <c r="D209" s="290"/>
      <c r="E209" s="290"/>
      <c r="F209" s="290"/>
      <c r="G209" s="291"/>
      <c r="H209" s="210">
        <f>H207+H90</f>
        <v>1730251.6504599997</v>
      </c>
      <c r="I209" s="165"/>
      <c r="J209" s="164"/>
      <c r="K209" s="163"/>
      <c r="L209" s="163"/>
      <c r="M209" s="163"/>
      <c r="N209" s="163"/>
      <c r="O209" s="162"/>
      <c r="P209" s="258"/>
      <c r="Q209" s="258"/>
    </row>
    <row r="210" spans="1:17" ht="15.75">
      <c r="A210" s="289" t="s">
        <v>500</v>
      </c>
      <c r="B210" s="290"/>
      <c r="C210" s="290"/>
      <c r="D210" s="290"/>
      <c r="E210" s="290"/>
      <c r="F210" s="290"/>
      <c r="G210" s="291"/>
      <c r="H210" s="210">
        <f>H208+H91</f>
        <v>24369.741555774643</v>
      </c>
      <c r="I210" s="165"/>
      <c r="J210" s="164"/>
      <c r="K210" s="163"/>
      <c r="L210" s="163"/>
      <c r="M210" s="163"/>
      <c r="N210" s="163"/>
      <c r="O210" s="162"/>
      <c r="P210" s="258"/>
      <c r="Q210" s="258"/>
    </row>
    <row r="211" spans="1:17" ht="16.5" customHeight="1">
      <c r="G211" s="160"/>
    </row>
    <row r="212" spans="1:17">
      <c r="F212" s="161"/>
    </row>
    <row r="213" spans="1:17">
      <c r="G213" s="160"/>
    </row>
    <row r="214" spans="1:17" ht="24" customHeight="1">
      <c r="B214" s="154" t="s">
        <v>374</v>
      </c>
      <c r="C214" s="158"/>
      <c r="D214" s="157"/>
      <c r="E214" s="157"/>
      <c r="F214" s="255" t="s">
        <v>375</v>
      </c>
      <c r="G214" s="255"/>
      <c r="H214" s="253"/>
      <c r="I214" s="253"/>
      <c r="L214" s="154" t="s">
        <v>376</v>
      </c>
      <c r="M214" s="253"/>
      <c r="N214" s="253"/>
      <c r="O214" s="256"/>
      <c r="P214" s="256"/>
    </row>
    <row r="215" spans="1:17" ht="24" customHeight="1">
      <c r="B215" s="154" t="s">
        <v>377</v>
      </c>
      <c r="C215" s="158"/>
      <c r="D215" s="157"/>
      <c r="E215" s="157"/>
      <c r="F215" s="255" t="s">
        <v>377</v>
      </c>
      <c r="G215" s="255"/>
      <c r="H215" s="253"/>
      <c r="I215" s="253"/>
      <c r="L215" s="154" t="s">
        <v>377</v>
      </c>
      <c r="M215" s="253"/>
      <c r="N215" s="253"/>
      <c r="O215" s="256"/>
      <c r="P215" s="256"/>
    </row>
    <row r="216" spans="1:17" ht="24" customHeight="1">
      <c r="B216" s="154" t="s">
        <v>378</v>
      </c>
      <c r="C216" s="158"/>
      <c r="D216" s="157"/>
      <c r="E216" s="157"/>
      <c r="F216" s="255" t="s">
        <v>378</v>
      </c>
      <c r="G216" s="255"/>
      <c r="H216" s="253"/>
      <c r="I216" s="253"/>
      <c r="L216" s="154" t="s">
        <v>378</v>
      </c>
      <c r="M216" s="253"/>
      <c r="N216" s="253"/>
      <c r="O216" s="256"/>
      <c r="P216" s="256"/>
    </row>
    <row r="217" spans="1:17" ht="24" customHeight="1">
      <c r="B217" s="283" t="s">
        <v>379</v>
      </c>
      <c r="C217" s="284"/>
      <c r="D217" s="159"/>
      <c r="E217" s="159"/>
      <c r="F217" s="255" t="s">
        <v>379</v>
      </c>
      <c r="G217" s="255"/>
      <c r="H217" s="257"/>
      <c r="I217" s="253"/>
      <c r="L217" s="154" t="s">
        <v>379</v>
      </c>
      <c r="M217" s="253"/>
      <c r="N217" s="253"/>
      <c r="O217" s="254"/>
      <c r="P217" s="254"/>
    </row>
    <row r="218" spans="1:17" ht="79.150000000000006" customHeight="1">
      <c r="B218" s="274" t="s">
        <v>380</v>
      </c>
      <c r="C218" s="275"/>
      <c r="D218" s="157"/>
      <c r="E218" s="157"/>
      <c r="F218" s="283" t="s">
        <v>380</v>
      </c>
      <c r="G218" s="284"/>
      <c r="H218" s="252"/>
      <c r="I218" s="252"/>
      <c r="L218" s="154" t="s">
        <v>380</v>
      </c>
      <c r="M218" s="253"/>
      <c r="N218" s="253"/>
      <c r="O218" s="254"/>
      <c r="P218" s="254"/>
    </row>
  </sheetData>
  <mergeCells count="54">
    <mergeCell ref="B2:G2"/>
    <mergeCell ref="B3:G3"/>
    <mergeCell ref="B5:C6"/>
    <mergeCell ref="D5:E5"/>
    <mergeCell ref="F5:G5"/>
    <mergeCell ref="D6:E6"/>
    <mergeCell ref="F6:G6"/>
    <mergeCell ref="M6:N6"/>
    <mergeCell ref="B8:Q8"/>
    <mergeCell ref="B10:B12"/>
    <mergeCell ref="C10:C12"/>
    <mergeCell ref="D10:D12"/>
    <mergeCell ref="E10:E12"/>
    <mergeCell ref="F10:F12"/>
    <mergeCell ref="G10:G12"/>
    <mergeCell ref="H10:H12"/>
    <mergeCell ref="I10:O10"/>
    <mergeCell ref="P10:Q10"/>
    <mergeCell ref="I11:I12"/>
    <mergeCell ref="P11:Q12"/>
    <mergeCell ref="A90:G90"/>
    <mergeCell ref="P90:Q90"/>
    <mergeCell ref="F215:G215"/>
    <mergeCell ref="H215:I215"/>
    <mergeCell ref="M215:N215"/>
    <mergeCell ref="O215:P215"/>
    <mergeCell ref="P207:Q207"/>
    <mergeCell ref="A91:G91"/>
    <mergeCell ref="P91:Q91"/>
    <mergeCell ref="A207:G207"/>
    <mergeCell ref="A208:G208"/>
    <mergeCell ref="P208:Q208"/>
    <mergeCell ref="A209:G209"/>
    <mergeCell ref="P209:Q209"/>
    <mergeCell ref="A210:G210"/>
    <mergeCell ref="P210:Q210"/>
    <mergeCell ref="B217:C217"/>
    <mergeCell ref="F217:G217"/>
    <mergeCell ref="H217:I217"/>
    <mergeCell ref="M217:N217"/>
    <mergeCell ref="O217:P217"/>
    <mergeCell ref="B218:C218"/>
    <mergeCell ref="F218:G218"/>
    <mergeCell ref="H218:I218"/>
    <mergeCell ref="M218:N218"/>
    <mergeCell ref="O218:P218"/>
    <mergeCell ref="F216:G216"/>
    <mergeCell ref="H216:I216"/>
    <mergeCell ref="M216:N216"/>
    <mergeCell ref="O216:P216"/>
    <mergeCell ref="F214:G214"/>
    <mergeCell ref="H214:I214"/>
    <mergeCell ref="M214:N214"/>
    <mergeCell ref="O214:P214"/>
  </mergeCells>
  <printOptions horizontalCentered="1"/>
  <pageMargins left="0.2" right="0.2" top="0.2" bottom="0.2" header="0" footer="0"/>
  <pageSetup paperSize="9" scale="50" fitToHeight="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368DFDB0D77404280172E887CD2A05F" ma:contentTypeVersion="4" ma:contentTypeDescription="Create a new document." ma:contentTypeScope="" ma:versionID="a3d503441ef2725cb635b12c29584d01">
  <xsd:schema xmlns:xsd="http://www.w3.org/2001/XMLSchema" xmlns:xs="http://www.w3.org/2001/XMLSchema" xmlns:p="http://schemas.microsoft.com/office/2006/metadata/properties" xmlns:ns2="d45ab5e8-01b8-42d9-803f-1bc2172eb3f5" targetNamespace="http://schemas.microsoft.com/office/2006/metadata/properties" ma:root="true" ma:fieldsID="ab83590eddc466d37079f8afa8eb049b" ns2:_="">
    <xsd:import namespace="d45ab5e8-01b8-42d9-803f-1bc2172eb3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5ab5e8-01b8-42d9-803f-1bc2172eb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S w i f t T o k e n s   x m l n s : x s d = " h t t p : / / w w w . w 3 . o r g / 2 0 0 1 / X M L S c h e m a "   x m l n s : x s i = " h t t p : / / w w w . w 3 . o r g / 2 0 0 1 / X M L S c h e m a - i n s t a n c e " > < T o k e n s / > < / S w i f t T o k e n 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780511-ACF6-4022-9C9C-3F3A2B72C095}"/>
</file>

<file path=customXml/itemProps2.xml><?xml version="1.0" encoding="utf-8"?>
<ds:datastoreItem xmlns:ds="http://schemas.openxmlformats.org/officeDocument/2006/customXml" ds:itemID="{EBCA3FE4-1246-4C41-AF3E-D6BD55911733}"/>
</file>

<file path=customXml/itemProps3.xml><?xml version="1.0" encoding="utf-8"?>
<ds:datastoreItem xmlns:ds="http://schemas.openxmlformats.org/officeDocument/2006/customXml" ds:itemID="{A387AC42-0396-4F1F-9105-938E88F004FA}"/>
</file>

<file path=customXml/itemProps4.xml><?xml version="1.0" encoding="utf-8"?>
<ds:datastoreItem xmlns:ds="http://schemas.openxmlformats.org/officeDocument/2006/customXml" ds:itemID="{68A1E3EA-EAD8-4744-9FB5-E24DEE160C5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Mokhtar Rezaee</dc:creator>
  <cp:keywords/>
  <dc:description/>
  <cp:lastModifiedBy>Ismael Farjad</cp:lastModifiedBy>
  <cp:revision/>
  <dcterms:created xsi:type="dcterms:W3CDTF">2024-07-25T04:08:43Z</dcterms:created>
  <dcterms:modified xsi:type="dcterms:W3CDTF">2024-11-13T06:53:48Z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lanSwiftJobName">
    <vt:lpwstr/>
  </property>
  <property fmtid="{D5CDD505-2E9C-101B-9397-08002B2CF9AE}" pid="3" name="PlanSwiftJobGuid">
    <vt:lpwstr/>
  </property>
  <property fmtid="{D5CDD505-2E9C-101B-9397-08002B2CF9AE}" pid="4" name="LinkedDataId">
    <vt:lpwstr>{EBCA3FE4-1246-4C41-AF3E-D6BD55911733}</vt:lpwstr>
  </property>
  <property fmtid="{D5CDD505-2E9C-101B-9397-08002B2CF9AE}" pid="5" name="ContentTypeId">
    <vt:lpwstr>0x0101002368DFDB0D77404280172E887CD2A05F</vt:lpwstr>
  </property>
</Properties>
</file>