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66925"/>
  <mc:AlternateContent xmlns:mc="http://schemas.openxmlformats.org/markup-compatibility/2006">
    <mc:Choice Requires="x15">
      <x15ac:absPath xmlns:x15ac="http://schemas.microsoft.com/office/spreadsheetml/2010/11/ac" url="D:\Logistic\2024 Data\ACBAR Anouncement\Torkham MCHC - 2\"/>
    </mc:Choice>
  </mc:AlternateContent>
  <xr:revisionPtr revIDLastSave="0" documentId="13_ncr:1_{CDF29153-32F8-49E7-81A7-C3A00AD60710}" xr6:coauthVersionLast="36" xr6:coauthVersionMax="36" xr10:uidLastSave="{00000000-0000-0000-0000-000000000000}"/>
  <bookViews>
    <workbookView xWindow="0" yWindow="0" windowWidth="20490" windowHeight="7425" xr2:uid="{00000000-000D-0000-FFFF-FFFF00000000}"/>
  </bookViews>
  <sheets>
    <sheet name="Construction" sheetId="18" r:id="rId1"/>
    <sheet name="Quantities_Reg" sheetId="17" state="hidden" r:id="rId2"/>
  </sheets>
  <definedNames>
    <definedName name="_xlnm.Print_Area" localSheetId="0">Construction!$A$1:$G$24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8" l="1"/>
  <c r="F24" i="18" s="1"/>
  <c r="F7" i="18"/>
  <c r="F8" i="18"/>
  <c r="F9" i="18"/>
  <c r="F10" i="18"/>
  <c r="F11" i="18"/>
  <c r="F12" i="18"/>
  <c r="F13" i="18"/>
  <c r="F14" i="18"/>
  <c r="F15" i="18"/>
  <c r="F16" i="18"/>
  <c r="F17" i="18"/>
  <c r="F18" i="18"/>
  <c r="F19" i="18"/>
  <c r="F20" i="18"/>
  <c r="F21" i="18"/>
  <c r="F22" i="18"/>
  <c r="F23" i="18"/>
  <c r="F5" i="18"/>
  <c r="K80" i="17" l="1"/>
  <c r="K79" i="17"/>
  <c r="K78" i="17"/>
  <c r="K77" i="17"/>
  <c r="K75" i="17"/>
  <c r="L75" i="17"/>
  <c r="K74" i="17"/>
  <c r="L74" i="17" s="1"/>
  <c r="K71" i="17"/>
  <c r="L71" i="17"/>
  <c r="H70" i="17"/>
  <c r="I70" i="17"/>
  <c r="O66" i="17"/>
  <c r="K66" i="17"/>
  <c r="K65" i="17"/>
  <c r="K64" i="17"/>
  <c r="L64" i="17" s="1"/>
  <c r="E62" i="17"/>
  <c r="K62" i="17" s="1"/>
  <c r="L61" i="17" s="1"/>
  <c r="N62" i="17" s="1"/>
  <c r="E61" i="17"/>
  <c r="K61" i="17"/>
  <c r="K58" i="17"/>
  <c r="L58" i="17"/>
  <c r="S58" i="17" s="1"/>
  <c r="B55" i="17"/>
  <c r="D53" i="17"/>
  <c r="C53" i="17"/>
  <c r="D52" i="17"/>
  <c r="C52" i="17"/>
  <c r="D51" i="17"/>
  <c r="C51" i="17"/>
  <c r="K51" i="17"/>
  <c r="D50" i="17"/>
  <c r="C50" i="17"/>
  <c r="K50" i="17" s="1"/>
  <c r="L50" i="17" s="1"/>
  <c r="L55" i="17" s="1"/>
  <c r="K45" i="17"/>
  <c r="K44" i="17"/>
  <c r="K43" i="17"/>
  <c r="K42" i="17"/>
  <c r="L42" i="17" s="1"/>
  <c r="K40" i="17"/>
  <c r="L40" i="17"/>
  <c r="K39" i="17"/>
  <c r="L39" i="17"/>
  <c r="K38" i="17"/>
  <c r="L38" i="17"/>
  <c r="D37" i="17"/>
  <c r="H37" i="17"/>
  <c r="I37" i="17"/>
  <c r="K35" i="17"/>
  <c r="L35" i="17" s="1"/>
  <c r="H34" i="17"/>
  <c r="I34" i="17" s="1"/>
  <c r="D32" i="17"/>
  <c r="H32" i="17"/>
  <c r="D31" i="17"/>
  <c r="H31" i="17"/>
  <c r="D30" i="17"/>
  <c r="H30" i="17" s="1"/>
  <c r="D29" i="17"/>
  <c r="H29" i="17" s="1"/>
  <c r="I29" i="17" s="1"/>
  <c r="E27" i="17"/>
  <c r="D27" i="17"/>
  <c r="H27" i="17"/>
  <c r="I27" i="17"/>
  <c r="C25" i="17"/>
  <c r="K25" i="17" s="1"/>
  <c r="C24" i="17"/>
  <c r="K24" i="17" s="1"/>
  <c r="C23" i="17"/>
  <c r="K23" i="17"/>
  <c r="C22" i="17"/>
  <c r="K22" i="17"/>
  <c r="D21" i="17"/>
  <c r="K21" i="17" s="1"/>
  <c r="C21" i="17"/>
  <c r="O20" i="17"/>
  <c r="E20" i="17"/>
  <c r="C20" i="17"/>
  <c r="E19" i="17"/>
  <c r="C19" i="17"/>
  <c r="K19" i="17" s="1"/>
  <c r="E16" i="17"/>
  <c r="K16" i="17"/>
  <c r="E15" i="17"/>
  <c r="K15" i="17"/>
  <c r="L15" i="17" s="1"/>
  <c r="N16" i="17" s="1"/>
  <c r="C12" i="17"/>
  <c r="K12" i="17"/>
  <c r="D11" i="17"/>
  <c r="C11" i="17"/>
  <c r="B9" i="17"/>
  <c r="D7" i="17"/>
  <c r="H7" i="17" s="1"/>
  <c r="C7" i="17"/>
  <c r="D6" i="17"/>
  <c r="C6" i="17"/>
  <c r="H6" i="17" s="1"/>
  <c r="D5" i="17"/>
  <c r="C5" i="17"/>
  <c r="K5" i="17" s="1"/>
  <c r="D4" i="17"/>
  <c r="C4" i="17"/>
  <c r="K4" i="17" s="1"/>
  <c r="L4" i="17" s="1"/>
  <c r="L9" i="17" s="1"/>
  <c r="K20" i="17"/>
  <c r="O71" i="17"/>
  <c r="P71" i="17"/>
  <c r="Q71" i="17" s="1"/>
  <c r="S71" i="17"/>
  <c r="H52" i="17"/>
  <c r="R71" i="17"/>
  <c r="L77" i="17"/>
  <c r="K11" i="17"/>
  <c r="L11" i="17" s="1"/>
  <c r="H53" i="17"/>
  <c r="R58" i="17"/>
  <c r="I52" i="17"/>
  <c r="R16" i="17" l="1"/>
  <c r="O16" i="17"/>
  <c r="P16" i="17" s="1"/>
  <c r="Q16" i="17" s="1"/>
  <c r="O62" i="17"/>
  <c r="P62" i="17" s="1"/>
  <c r="Q62" i="17" s="1"/>
  <c r="R62" i="17"/>
  <c r="L19" i="17"/>
  <c r="Q66" i="17"/>
  <c r="R66" i="17" s="1"/>
  <c r="S66" i="17" s="1"/>
  <c r="P66" i="17"/>
  <c r="T66" i="17"/>
  <c r="O12" i="17"/>
  <c r="P12" i="17" s="1"/>
  <c r="Q12" i="17" s="1"/>
  <c r="S12" i="17"/>
  <c r="R12" i="17"/>
  <c r="S35" i="17"/>
  <c r="R35" i="17"/>
  <c r="O35" i="17"/>
  <c r="P35" i="17" s="1"/>
  <c r="Q35" i="17" s="1"/>
  <c r="I6" i="17"/>
  <c r="O58" i="17"/>
  <c r="P58" i="17" s="1"/>
  <c r="Q58" i="17" s="1"/>
  <c r="T20" i="17" l="1"/>
  <c r="Q20" i="17"/>
  <c r="R20" i="17" s="1"/>
  <c r="S20" i="17" s="1"/>
  <c r="P20" i="17"/>
</calcChain>
</file>

<file path=xl/sharedStrings.xml><?xml version="1.0" encoding="utf-8"?>
<sst xmlns="http://schemas.openxmlformats.org/spreadsheetml/2006/main" count="176" uniqueCount="94">
  <si>
    <t xml:space="preserve">Unit </t>
  </si>
  <si>
    <t>Permanent Shelter Works</t>
  </si>
  <si>
    <t>Width</t>
  </si>
  <si>
    <t>Length</t>
  </si>
  <si>
    <t>Height</t>
  </si>
  <si>
    <t>Quantity</t>
  </si>
  <si>
    <t>Area</t>
  </si>
  <si>
    <t>Volume</t>
  </si>
  <si>
    <t>Excavations Foundation</t>
  </si>
  <si>
    <t>Axes 1 and 2</t>
  </si>
  <si>
    <t>Axes A, B, C, D</t>
  </si>
  <si>
    <t>Compaction</t>
  </si>
  <si>
    <t>Backfilling extra excavation</t>
  </si>
  <si>
    <t>ratio mix 1:3:6</t>
  </si>
  <si>
    <t>PCC under foundation</t>
  </si>
  <si>
    <t>Cement Volume</t>
  </si>
  <si>
    <t>Cement Bags 50kg</t>
  </si>
  <si>
    <t>Cement Kg</t>
  </si>
  <si>
    <t>Sand Volume</t>
  </si>
  <si>
    <t>Aggregate Volume</t>
  </si>
  <si>
    <t>35% mortar 1:6</t>
  </si>
  <si>
    <t>Stone Masonry Foundation</t>
  </si>
  <si>
    <t>17.5% mortar 1:6</t>
  </si>
  <si>
    <t>Brick Masonry Walls</t>
  </si>
  <si>
    <t>1 Brick Volume</t>
  </si>
  <si>
    <t>Bricks Qtt</t>
  </si>
  <si>
    <t>Axes A and D</t>
  </si>
  <si>
    <t>Axes B and C</t>
  </si>
  <si>
    <t>Kitchen</t>
  </si>
  <si>
    <t>Deduction doors</t>
  </si>
  <si>
    <t>Deduction windows</t>
  </si>
  <si>
    <t>External plaster
(Cement)</t>
  </si>
  <si>
    <t>brick wall</t>
  </si>
  <si>
    <t>Internal plaster
(Gypsum)</t>
  </si>
  <si>
    <t>living room 1</t>
  </si>
  <si>
    <t>living room 2</t>
  </si>
  <si>
    <t>kitchen</t>
  </si>
  <si>
    <t>corridor</t>
  </si>
  <si>
    <t>Roof Area</t>
  </si>
  <si>
    <t>PCC Roof Slab</t>
  </si>
  <si>
    <t>Internal Floor Area</t>
  </si>
  <si>
    <t>Internal Floor Hardcore</t>
  </si>
  <si>
    <t>Internal Floor Backfilling</t>
  </si>
  <si>
    <t>Floor Straw Mud Plaster</t>
  </si>
  <si>
    <t>Steps Main Door</t>
  </si>
  <si>
    <t>step 1</t>
  </si>
  <si>
    <t>step 2</t>
  </si>
  <si>
    <t>step 3</t>
  </si>
  <si>
    <t>step 4</t>
  </si>
  <si>
    <t>Latrine Works</t>
  </si>
  <si>
    <t>2 longit walls</t>
  </si>
  <si>
    <t>2 cross walls</t>
  </si>
  <si>
    <t>4 walls</t>
  </si>
  <si>
    <t>discount 1 door</t>
  </si>
  <si>
    <t>RCC Squating Slab</t>
  </si>
  <si>
    <t>RCC Vault frame and Door</t>
  </si>
  <si>
    <t>external</t>
  </si>
  <si>
    <t>No</t>
  </si>
  <si>
    <t>LSM</t>
  </si>
  <si>
    <t>SN</t>
  </si>
  <si>
    <t>Activites</t>
  </si>
  <si>
    <t>Quantities</t>
  </si>
  <si>
    <t>UP (AFN</t>
  </si>
  <si>
    <t>Total (AFN)</t>
  </si>
  <si>
    <t>Excavation for Installation of Galvanzied iron pipe (pole) 40cmx40cmx40cm, total pole 26</t>
  </si>
  <si>
    <t xml:space="preserve">PCC 1:4 for installation of galvanized pipes </t>
  </si>
  <si>
    <t>Installationo of 3" galvanized iron pipe 2mm thickness, head cap fasten 4mm wire cable on the top and botom, 40cm depth on surface with all required actvities, total length of pole 3m</t>
  </si>
  <si>
    <t>installation of good quality 3mm Mesh wit all necessary requirement</t>
  </si>
  <si>
    <t>Insallation of 24 gauge iron sheet with 12mm plywood 10cm glass wool, iron t beam 2mm thickness, the required rectangule tube should be 2mm, painting and with all required actvities, total length 120m of galvanzed iron 3" pipe, 4m height, 50 cm depth, 3.5m height from surface</t>
  </si>
  <si>
    <t>insallation of good quality snipper screen 90% visibility blockage for fence wall green color , 1mm fasten top and bottom with all required activites</t>
  </si>
  <si>
    <t>installation of gate from box net (HESCO) 3x2 with all required activites</t>
  </si>
  <si>
    <t>installation fgate from box net (HESCO) 1x0.7m with all required activities</t>
  </si>
  <si>
    <t xml:space="preserve">installation of good quality 2000ltr water on CMU with all required actvities </t>
  </si>
  <si>
    <t>fabricated Crush around the MCHC area</t>
  </si>
  <si>
    <t>m</t>
  </si>
  <si>
    <t xml:space="preserve">Supply of plastic pipe 1" (1 bundle of 50m) </t>
  </si>
  <si>
    <t>m3</t>
  </si>
  <si>
    <t>LM</t>
  </si>
  <si>
    <t>sqm</t>
  </si>
  <si>
    <t>smq</t>
  </si>
  <si>
    <t>JOB</t>
  </si>
  <si>
    <t>Supply and Installation of plumbing system for 4 latrines (2 new and 2 existing)  and  Eastern Flash WC, muslim shower,</t>
  </si>
  <si>
    <t>Construction of 2 latrines with bathing faclities from CMU Blocks, roofing from I-Beam , T Iron, Chawka  (1.5 x 1.5m) -Painting (Steel Doors) and Vent Pipes</t>
  </si>
  <si>
    <t>Constructionf Septic: Plastic Septic Tank with excvation, installation precast slabs for toilets with all required actvities 8000 liters</t>
  </si>
  <si>
    <t>Bill of Quantities for MCHC Torkham Zero Point Omari Returnees Camp</t>
  </si>
  <si>
    <t>Construction of Kitchen from CMU and T-Iron roof, doors and required work</t>
  </si>
  <si>
    <t>Truss Electrical Work:  Wiring system (wire 2mm) and swich sockets and installation work</t>
  </si>
  <si>
    <t>6 Ceiling Fans with accessaries, good quality  operating on AC and DC (Pak made Royal or similar)</t>
  </si>
  <si>
    <t xml:space="preserve">Site Prepartion and Alignment of existing connexes as per Truss fabrication in the yard and mud plaster over connex roof. </t>
  </si>
  <si>
    <t xml:space="preserve">CMU work under existing connexes (h=40cm), Covering the gaps all around for drain (rain) water managmenet, construction of 5 ramps for disable friendly access &amp; stairs steps Construction , interior and exterior) with plaster work Total lengh = 62m,  CMUs installation for greenary and flowers in the yard. painting of CMUs around the connex and in the yard. </t>
  </si>
  <si>
    <t xml:space="preserve">Total </t>
  </si>
  <si>
    <t>Remarks</t>
  </si>
  <si>
    <t>HEWAD</t>
  </si>
  <si>
    <t xml:space="preserve"> Reconstruction, Health &amp; Humanitarian Assistance Committee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</si>
</sst>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0.0"/>
    <numFmt numFmtId="166" formatCode="0.0000"/>
    <numFmt numFmtId="167" formatCode="[$-409]d/mmm/yy;@"/>
  </numFmts>
  <fonts count="17" x14ac:knownFonts="1">
    <font>
      <sz val="11"/>
      <color theme="1"/>
      <name val="Calibri"/>
      <family val="2"/>
      <scheme val="minor"/>
    </font>
    <font>
      <sz val="11"/>
      <color theme="1"/>
      <name val="Calibri"/>
      <family val="2"/>
      <scheme val="minor"/>
    </font>
    <font>
      <b/>
      <sz val="11"/>
      <color theme="1"/>
      <name val="Arial"/>
      <family val="2"/>
    </font>
    <font>
      <b/>
      <sz val="11"/>
      <color theme="1"/>
      <name val="Calibri"/>
      <family val="2"/>
      <scheme val="minor"/>
    </font>
    <font>
      <sz val="10"/>
      <name val="Arial"/>
      <family val="2"/>
    </font>
    <font>
      <sz val="11"/>
      <name val="Calibri"/>
      <family val="2"/>
      <scheme val="minor"/>
    </font>
    <font>
      <b/>
      <sz val="11"/>
      <name val="Arial"/>
      <family val="2"/>
    </font>
    <font>
      <sz val="11"/>
      <color rgb="FF9C6500"/>
      <name val="Calibri"/>
      <family val="2"/>
      <scheme val="minor"/>
    </font>
    <font>
      <sz val="11"/>
      <color rgb="FFFF0000"/>
      <name val="Calibri"/>
      <family val="2"/>
      <scheme val="minor"/>
    </font>
    <font>
      <b/>
      <sz val="11"/>
      <name val="Calibri"/>
      <family val="2"/>
      <scheme val="minor"/>
    </font>
    <font>
      <b/>
      <sz val="11"/>
      <color theme="3"/>
      <name val="Calibri"/>
      <family val="2"/>
      <scheme val="minor"/>
    </font>
    <font>
      <sz val="11"/>
      <color theme="1"/>
      <name val="Times New Roman"/>
      <family val="1"/>
    </font>
    <font>
      <b/>
      <sz val="10"/>
      <name val="Arial"/>
      <family val="2"/>
    </font>
    <font>
      <sz val="12"/>
      <name val="Arial"/>
      <family val="2"/>
    </font>
    <font>
      <b/>
      <sz val="24"/>
      <color theme="1"/>
      <name val="Calibri"/>
      <family val="2"/>
      <scheme val="minor"/>
    </font>
    <font>
      <b/>
      <sz val="26"/>
      <color theme="1"/>
      <name val="Cambria"/>
      <family val="1"/>
    </font>
    <font>
      <b/>
      <sz val="16"/>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EB9C"/>
      </patternFill>
    </fill>
    <fill>
      <patternFill patternType="solid">
        <fgColor theme="0" tint="-0.249977111117893"/>
        <bgColor indexed="64"/>
      </patternFill>
    </fill>
    <fill>
      <patternFill patternType="solid">
        <fgColor theme="9" tint="0.59999389629810485"/>
        <bgColor indexed="65"/>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theme="4" tint="0.39997558519241921"/>
      </bottom>
      <diagonal/>
    </border>
    <border>
      <left style="thin">
        <color indexed="64"/>
      </left>
      <right/>
      <top style="thin">
        <color indexed="64"/>
      </top>
      <bottom style="thin">
        <color indexed="64"/>
      </bottom>
      <diagonal/>
    </border>
  </borders>
  <cellStyleXfs count="17">
    <xf numFmtId="0" fontId="0" fillId="0" borderId="0"/>
    <xf numFmtId="0" fontId="1" fillId="0" borderId="0"/>
    <xf numFmtId="0" fontId="7" fillId="4" borderId="0" applyNumberFormat="0" applyBorder="0" applyAlignment="0" applyProtection="0"/>
    <xf numFmtId="43" fontId="1" fillId="0" borderId="0" applyFont="0" applyFill="0" applyBorder="0" applyAlignment="0" applyProtection="0"/>
    <xf numFmtId="0" fontId="4"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0" fillId="0" borderId="5" applyNumberFormat="0" applyFill="0" applyAlignment="0" applyProtection="0"/>
    <xf numFmtId="0" fontId="1" fillId="0" borderId="0"/>
    <xf numFmtId="43" fontId="4" fillId="0" borderId="0" applyFont="0" applyFill="0" applyBorder="0" applyAlignment="0" applyProtection="0"/>
    <xf numFmtId="43" fontId="1" fillId="0" borderId="0" applyFont="0" applyFill="0" applyBorder="0" applyAlignment="0" applyProtection="0"/>
    <xf numFmtId="0" fontId="1" fillId="6"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4" fillId="0" borderId="0"/>
    <xf numFmtId="43" fontId="1" fillId="0" borderId="0" applyFont="0" applyFill="0" applyBorder="0" applyAlignment="0" applyProtection="0"/>
  </cellStyleXfs>
  <cellXfs count="88">
    <xf numFmtId="0" fontId="0" fillId="0" borderId="0" xfId="0"/>
    <xf numFmtId="0" fontId="0" fillId="0" borderId="0" xfId="0" applyAlignment="1">
      <alignment horizontal="center"/>
    </xf>
    <xf numFmtId="0" fontId="5" fillId="0" borderId="0" xfId="0" applyFont="1"/>
    <xf numFmtId="0" fontId="8" fillId="0" borderId="0" xfId="0" applyFont="1"/>
    <xf numFmtId="0" fontId="8" fillId="0" borderId="0" xfId="0" applyFont="1" applyAlignment="1">
      <alignment horizontal="center"/>
    </xf>
    <xf numFmtId="165" fontId="5" fillId="0" borderId="1" xfId="0" applyNumberFormat="1" applyFont="1" applyBorder="1" applyAlignment="1">
      <alignment horizontal="center"/>
    </xf>
    <xf numFmtId="0" fontId="5" fillId="0" borderId="0" xfId="0" applyFont="1" applyAlignment="1">
      <alignment horizontal="center"/>
    </xf>
    <xf numFmtId="2" fontId="5" fillId="0" borderId="1" xfId="0" applyNumberFormat="1" applyFont="1" applyBorder="1" applyAlignment="1">
      <alignment horizontal="center"/>
    </xf>
    <xf numFmtId="0" fontId="5" fillId="0" borderId="1" xfId="0" applyFont="1" applyBorder="1" applyAlignment="1">
      <alignment horizontal="center"/>
    </xf>
    <xf numFmtId="0" fontId="9" fillId="0" borderId="0" xfId="0" applyFont="1" applyAlignment="1">
      <alignment vertical="center"/>
    </xf>
    <xf numFmtId="165" fontId="5" fillId="0" borderId="0" xfId="0" applyNumberFormat="1" applyFont="1"/>
    <xf numFmtId="2" fontId="9" fillId="0" borderId="0" xfId="0" applyNumberFormat="1" applyFont="1" applyAlignment="1">
      <alignment vertical="center"/>
    </xf>
    <xf numFmtId="0" fontId="9" fillId="0" borderId="0" xfId="0" applyFont="1" applyAlignment="1">
      <alignment horizontal="center"/>
    </xf>
    <xf numFmtId="0" fontId="9" fillId="0" borderId="0" xfId="0" applyFont="1"/>
    <xf numFmtId="2" fontId="5" fillId="0" borderId="0" xfId="0" applyNumberFormat="1" applyFont="1" applyAlignment="1">
      <alignment horizontal="center"/>
    </xf>
    <xf numFmtId="165" fontId="5" fillId="0" borderId="0" xfId="0" applyNumberFormat="1" applyFont="1" applyAlignment="1">
      <alignment horizontal="center"/>
    </xf>
    <xf numFmtId="165" fontId="9" fillId="0" borderId="0" xfId="0" applyNumberFormat="1" applyFont="1" applyAlignment="1">
      <alignment vertical="center"/>
    </xf>
    <xf numFmtId="0" fontId="5" fillId="0" borderId="1" xfId="0" applyFont="1" applyBorder="1" applyAlignment="1">
      <alignment horizontal="center" vertical="center"/>
    </xf>
    <xf numFmtId="2"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2" fontId="5" fillId="0" borderId="0" xfId="0" applyNumberFormat="1" applyFont="1"/>
    <xf numFmtId="2" fontId="9" fillId="3" borderId="1" xfId="0" applyNumberFormat="1" applyFont="1" applyFill="1" applyBorder="1" applyAlignment="1">
      <alignment horizontal="center" vertical="center"/>
    </xf>
    <xf numFmtId="166" fontId="5" fillId="0" borderId="0" xfId="0" applyNumberFormat="1" applyFont="1" applyAlignment="1">
      <alignment horizontal="center"/>
    </xf>
    <xf numFmtId="2" fontId="5" fillId="0" borderId="0" xfId="0" applyNumberFormat="1" applyFont="1" applyAlignment="1">
      <alignment horizontal="center" vertical="center"/>
    </xf>
    <xf numFmtId="3" fontId="9" fillId="0" borderId="0" xfId="0" applyNumberFormat="1" applyFont="1" applyAlignment="1">
      <alignment horizontal="center" vertical="center"/>
    </xf>
    <xf numFmtId="0" fontId="9" fillId="3" borderId="1" xfId="0" applyFont="1" applyFill="1" applyBorder="1" applyAlignment="1">
      <alignment horizontal="center" vertical="center" wrapText="1"/>
    </xf>
    <xf numFmtId="165" fontId="9" fillId="3" borderId="1" xfId="0" applyNumberFormat="1" applyFont="1" applyFill="1" applyBorder="1" applyAlignment="1">
      <alignment horizontal="center" vertical="center"/>
    </xf>
    <xf numFmtId="0" fontId="9" fillId="5" borderId="1" xfId="0" applyFont="1" applyFill="1" applyBorder="1" applyAlignment="1">
      <alignment horizontal="center"/>
    </xf>
    <xf numFmtId="0" fontId="9" fillId="7" borderId="1" xfId="0" applyFont="1" applyFill="1" applyBorder="1" applyAlignment="1">
      <alignment horizontal="center" vertical="center"/>
    </xf>
    <xf numFmtId="3" fontId="9" fillId="7" borderId="1" xfId="0" applyNumberFormat="1" applyFont="1" applyFill="1" applyBorder="1" applyAlignment="1">
      <alignment horizontal="center" vertical="center"/>
    </xf>
    <xf numFmtId="0" fontId="9" fillId="0" borderId="0" xfId="0" applyFont="1" applyAlignment="1">
      <alignment horizontal="center" vertical="center" wrapText="1"/>
    </xf>
    <xf numFmtId="165" fontId="9" fillId="0" borderId="0" xfId="0" applyNumberFormat="1" applyFont="1" applyAlignment="1">
      <alignment horizontal="center" vertical="center"/>
    </xf>
    <xf numFmtId="0" fontId="3" fillId="0" borderId="0" xfId="0" applyFont="1" applyAlignment="1">
      <alignment horizontal="center"/>
    </xf>
    <xf numFmtId="164" fontId="8" fillId="0" borderId="0" xfId="0" applyNumberFormat="1" applyFont="1"/>
    <xf numFmtId="2" fontId="9" fillId="8" borderId="1" xfId="0" applyNumberFormat="1" applyFont="1" applyFill="1" applyBorder="1" applyAlignment="1">
      <alignment horizontal="center" vertical="center"/>
    </xf>
    <xf numFmtId="0" fontId="9" fillId="8" borderId="1" xfId="0" applyFont="1" applyFill="1" applyBorder="1" applyAlignment="1">
      <alignment horizontal="center" vertical="center" wrapText="1"/>
    </xf>
    <xf numFmtId="0" fontId="9" fillId="8" borderId="1" xfId="0" applyFont="1" applyFill="1" applyBorder="1" applyAlignment="1">
      <alignment horizontal="center" vertical="center"/>
    </xf>
    <xf numFmtId="0" fontId="3" fillId="0" borderId="0" xfId="0" applyFont="1"/>
    <xf numFmtId="165" fontId="3" fillId="0" borderId="1" xfId="0" applyNumberFormat="1" applyFont="1" applyBorder="1" applyAlignment="1">
      <alignment horizontal="center"/>
    </xf>
    <xf numFmtId="2" fontId="9" fillId="7" borderId="1" xfId="0" applyNumberFormat="1" applyFont="1" applyFill="1" applyBorder="1" applyAlignment="1">
      <alignment horizontal="center" vertical="center"/>
    </xf>
    <xf numFmtId="2" fontId="9" fillId="0" borderId="0" xfId="0" applyNumberFormat="1" applyFont="1" applyAlignment="1">
      <alignment horizontal="center" vertical="center"/>
    </xf>
    <xf numFmtId="0" fontId="9" fillId="9" borderId="1" xfId="0" applyFont="1" applyFill="1" applyBorder="1" applyAlignment="1">
      <alignment horizontal="center" vertical="center"/>
    </xf>
    <xf numFmtId="2" fontId="9" fillId="9" borderId="1" xfId="0" applyNumberFormat="1" applyFont="1" applyFill="1" applyBorder="1" applyAlignment="1">
      <alignment horizontal="center" vertical="center"/>
    </xf>
    <xf numFmtId="0" fontId="9" fillId="0" borderId="0" xfId="0" applyFont="1" applyAlignment="1">
      <alignment horizontal="center" vertical="center"/>
    </xf>
    <xf numFmtId="165" fontId="3" fillId="0" borderId="0" xfId="0" applyNumberFormat="1" applyFont="1" applyAlignment="1">
      <alignment horizontal="center"/>
    </xf>
    <xf numFmtId="0" fontId="11" fillId="0" borderId="0" xfId="0" applyFont="1"/>
    <xf numFmtId="0" fontId="4" fillId="0" borderId="1" xfId="0" applyFont="1" applyBorder="1" applyAlignment="1">
      <alignment horizontal="center" vertical="center" wrapText="1"/>
    </xf>
    <xf numFmtId="0" fontId="4" fillId="2" borderId="1" xfId="0" applyFont="1" applyFill="1" applyBorder="1" applyAlignment="1">
      <alignment vertical="center" wrapText="1"/>
    </xf>
    <xf numFmtId="165"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43" fontId="4" fillId="0" borderId="1" xfId="16"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2" fillId="3" borderId="1" xfId="0" applyFont="1" applyFill="1" applyBorder="1" applyAlignment="1">
      <alignment horizontal="center" vertical="center" wrapText="1"/>
    </xf>
    <xf numFmtId="164" fontId="6" fillId="3" borderId="1" xfId="0" applyNumberFormat="1" applyFont="1" applyFill="1" applyBorder="1" applyAlignment="1">
      <alignment horizontal="center" vertical="center" wrapText="1"/>
    </xf>
    <xf numFmtId="43" fontId="12" fillId="3" borderId="1" xfId="16" applyFont="1" applyFill="1" applyBorder="1" applyAlignment="1">
      <alignment horizontal="center" vertical="center" wrapText="1"/>
    </xf>
    <xf numFmtId="43" fontId="4" fillId="0" borderId="1" xfId="16" applyFont="1" applyFill="1" applyBorder="1" applyAlignment="1">
      <alignment horizontal="center" vertical="center" wrapText="1"/>
    </xf>
    <xf numFmtId="0" fontId="13" fillId="3" borderId="1" xfId="0" applyFont="1" applyFill="1" applyBorder="1" applyAlignment="1">
      <alignment horizontal="right" vertical="center" wrapText="1"/>
    </xf>
    <xf numFmtId="0" fontId="4" fillId="3" borderId="1" xfId="0"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43" fontId="4" fillId="3" borderId="1" xfId="16" applyFont="1" applyFill="1" applyBorder="1" applyAlignment="1">
      <alignment horizontal="center" vertical="center" wrapText="1"/>
    </xf>
    <xf numFmtId="0" fontId="9" fillId="7" borderId="1" xfId="0" applyFont="1" applyFill="1" applyBorder="1" applyAlignment="1">
      <alignment horizontal="center" vertical="center" wrapText="1"/>
    </xf>
    <xf numFmtId="165" fontId="9" fillId="3" borderId="1" xfId="0" applyNumberFormat="1" applyFont="1" applyFill="1" applyBorder="1" applyAlignment="1">
      <alignment horizontal="center" vertical="center"/>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2" xfId="0" applyFont="1" applyFill="1" applyBorder="1" applyAlignment="1">
      <alignment horizontal="center" vertical="center" wrapText="1"/>
    </xf>
    <xf numFmtId="165" fontId="9" fillId="3" borderId="4" xfId="0" applyNumberFormat="1" applyFont="1" applyFill="1" applyBorder="1" applyAlignment="1">
      <alignment horizontal="center" vertical="center"/>
    </xf>
    <xf numFmtId="165" fontId="9" fillId="3" borderId="3" xfId="0" applyNumberFormat="1" applyFont="1" applyFill="1" applyBorder="1" applyAlignment="1">
      <alignment horizontal="center" vertical="center"/>
    </xf>
    <xf numFmtId="165" fontId="9" fillId="3" borderId="2" xfId="0" applyNumberFormat="1" applyFont="1" applyFill="1" applyBorder="1" applyAlignment="1">
      <alignment horizontal="center" vertical="center"/>
    </xf>
    <xf numFmtId="0" fontId="9" fillId="9" borderId="1" xfId="0" applyFont="1" applyFill="1" applyBorder="1" applyAlignment="1">
      <alignment horizontal="center" vertical="center" wrapText="1"/>
    </xf>
    <xf numFmtId="0" fontId="9" fillId="9" borderId="1" xfId="0" applyFont="1" applyFill="1" applyBorder="1" applyAlignment="1">
      <alignment horizontal="center" vertical="center"/>
    </xf>
    <xf numFmtId="165" fontId="9" fillId="9" borderId="1" xfId="0" applyNumberFormat="1" applyFont="1" applyFill="1" applyBorder="1" applyAlignment="1">
      <alignment horizontal="center" vertical="center"/>
    </xf>
    <xf numFmtId="0" fontId="9" fillId="5" borderId="1" xfId="0" applyFont="1" applyFill="1" applyBorder="1" applyAlignment="1">
      <alignment horizontal="center"/>
    </xf>
    <xf numFmtId="0" fontId="9" fillId="8" borderId="1" xfId="0" applyFont="1" applyFill="1" applyBorder="1" applyAlignment="1">
      <alignment horizontal="center" vertical="center" wrapText="1"/>
    </xf>
    <xf numFmtId="0" fontId="9" fillId="8"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5" fillId="0" borderId="1" xfId="0" applyFont="1" applyBorder="1"/>
    <xf numFmtId="43" fontId="5" fillId="0" borderId="1" xfId="0" applyNumberFormat="1" applyFont="1" applyBorder="1"/>
    <xf numFmtId="167" fontId="14" fillId="0" borderId="0" xfId="0" applyNumberFormat="1" applyFont="1" applyBorder="1" applyAlignment="1">
      <alignment horizontal="left" vertical="center" indent="17"/>
    </xf>
    <xf numFmtId="0" fontId="16" fillId="0" borderId="0" xfId="0" applyFont="1" applyBorder="1" applyAlignment="1">
      <alignment horizontal="left" vertical="center" indent="27"/>
    </xf>
    <xf numFmtId="0" fontId="0" fillId="0" borderId="0" xfId="0" applyBorder="1" applyAlignment="1">
      <alignment horizontal="center"/>
    </xf>
    <xf numFmtId="0" fontId="0" fillId="0" borderId="0" xfId="0" applyBorder="1"/>
    <xf numFmtId="0" fontId="15" fillId="0" borderId="0" xfId="0" applyFont="1" applyBorder="1" applyAlignment="1">
      <alignment vertical="center"/>
    </xf>
    <xf numFmtId="0" fontId="16" fillId="0" borderId="0" xfId="0" applyFont="1" applyBorder="1" applyAlignment="1">
      <alignment horizontal="left" vertical="center" wrapText="1" indent="27"/>
    </xf>
    <xf numFmtId="0" fontId="11" fillId="0" borderId="0" xfId="0" applyFont="1" applyBorder="1"/>
  </cellXfs>
  <cellStyles count="17">
    <cellStyle name="40% - Accent6 3 3" xfId="12" xr:uid="{00000000-0005-0000-0000-000000000000}"/>
    <cellStyle name="Comma" xfId="16" builtinId="3"/>
    <cellStyle name="Comma 2" xfId="7" xr:uid="{00000000-0005-0000-0000-000002000000}"/>
    <cellStyle name="Comma 2 2" xfId="10" xr:uid="{00000000-0005-0000-0000-000003000000}"/>
    <cellStyle name="Comma 3 3" xfId="5" xr:uid="{00000000-0005-0000-0000-000004000000}"/>
    <cellStyle name="Comma 3 3 2 3" xfId="13" xr:uid="{00000000-0005-0000-0000-000005000000}"/>
    <cellStyle name="Comma 5" xfId="3" xr:uid="{00000000-0005-0000-0000-000006000000}"/>
    <cellStyle name="Comma 5 2 3" xfId="11" xr:uid="{00000000-0005-0000-0000-000007000000}"/>
    <cellStyle name="Currency 2" xfId="6" xr:uid="{00000000-0005-0000-0000-000008000000}"/>
    <cellStyle name="Currency 2 2 3" xfId="14" xr:uid="{00000000-0005-0000-0000-000009000000}"/>
    <cellStyle name="Heading 3 2" xfId="8" xr:uid="{00000000-0005-0000-0000-00000A000000}"/>
    <cellStyle name="Neutral 2" xfId="2" xr:uid="{00000000-0005-0000-0000-00000B000000}"/>
    <cellStyle name="Normal" xfId="0" builtinId="0"/>
    <cellStyle name="Normal 2" xfId="4" xr:uid="{00000000-0005-0000-0000-00000D000000}"/>
    <cellStyle name="Normal 2 3" xfId="1" xr:uid="{00000000-0005-0000-0000-00000E000000}"/>
    <cellStyle name="Normal 2 3 2 3" xfId="9" xr:uid="{00000000-0005-0000-0000-00000F000000}"/>
    <cellStyle name="Normal 3"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235324</xdr:colOff>
      <xdr:row>0</xdr:row>
      <xdr:rowOff>0</xdr:rowOff>
    </xdr:from>
    <xdr:to>
      <xdr:col>1</xdr:col>
      <xdr:colOff>900811</xdr:colOff>
      <xdr:row>2</xdr:row>
      <xdr:rowOff>246530</xdr:rowOff>
    </xdr:to>
    <xdr:pic>
      <xdr:nvPicPr>
        <xdr:cNvPr id="2" name="Picture 2">
          <a:extLst>
            <a:ext uri="{FF2B5EF4-FFF2-40B4-BE49-F238E27FC236}">
              <a16:creationId xmlns:a16="http://schemas.microsoft.com/office/drawing/2014/main" id="{D3B5B2D9-7007-4F57-A7BB-26FBB6427F4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5324" y="0"/>
          <a:ext cx="1068899" cy="108697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5EAEF-220A-4BE7-8109-26FD76F87F54}">
  <dimension ref="A1:J27"/>
  <sheetViews>
    <sheetView showGridLines="0" tabSelected="1" view="pageBreakPreview" topLeftCell="A11" zoomScale="78" zoomScaleNormal="85" zoomScaleSheetLayoutView="78" workbookViewId="0">
      <selection activeCell="B18" sqref="B18"/>
    </sheetView>
  </sheetViews>
  <sheetFormatPr defaultRowHeight="15" x14ac:dyDescent="0.25"/>
  <cols>
    <col min="1" max="1" width="6" style="1" customWidth="1"/>
    <col min="2" max="2" width="75.7109375" customWidth="1"/>
    <col min="3" max="3" width="12.85546875" customWidth="1"/>
    <col min="4" max="4" width="12.5703125" customWidth="1"/>
    <col min="5" max="5" width="19" style="35" customWidth="1"/>
    <col min="6" max="6" width="20" customWidth="1"/>
    <col min="7" max="7" width="28.140625" customWidth="1"/>
  </cols>
  <sheetData>
    <row r="1" spans="1:10" ht="31.5" customHeight="1" x14ac:dyDescent="0.25">
      <c r="A1" s="83"/>
      <c r="B1" s="84"/>
      <c r="C1" s="85" t="s">
        <v>92</v>
      </c>
      <c r="D1" s="85"/>
      <c r="E1" s="85"/>
      <c r="F1" s="85"/>
      <c r="G1" s="85"/>
      <c r="H1" s="84"/>
      <c r="I1" s="84"/>
      <c r="J1" s="84"/>
    </row>
    <row r="2" spans="1:10" ht="34.5" customHeight="1" x14ac:dyDescent="0.25">
      <c r="A2" s="83"/>
      <c r="B2" s="81" t="s">
        <v>93</v>
      </c>
      <c r="C2" s="81"/>
      <c r="D2" s="81"/>
      <c r="E2" s="81"/>
      <c r="F2" s="81"/>
      <c r="G2" s="81"/>
      <c r="H2" s="81"/>
      <c r="I2" s="81"/>
      <c r="J2" s="81"/>
    </row>
    <row r="3" spans="1:10" s="47" customFormat="1" ht="36.75" customHeight="1" x14ac:dyDescent="0.25">
      <c r="A3" s="86" t="s">
        <v>84</v>
      </c>
      <c r="B3" s="82"/>
      <c r="C3" s="82"/>
      <c r="D3" s="82"/>
      <c r="E3" s="82"/>
      <c r="F3" s="82"/>
      <c r="G3" s="87"/>
      <c r="H3" s="87"/>
      <c r="I3" s="87"/>
      <c r="J3" s="87"/>
    </row>
    <row r="4" spans="1:10" ht="31.5" customHeight="1" x14ac:dyDescent="0.25">
      <c r="A4" s="55" t="s">
        <v>59</v>
      </c>
      <c r="B4" s="55" t="s">
        <v>60</v>
      </c>
      <c r="C4" s="55" t="s">
        <v>0</v>
      </c>
      <c r="D4" s="55" t="s">
        <v>61</v>
      </c>
      <c r="E4" s="56" t="s">
        <v>62</v>
      </c>
      <c r="F4" s="55" t="s">
        <v>63</v>
      </c>
      <c r="G4" s="55" t="s">
        <v>91</v>
      </c>
    </row>
    <row r="5" spans="1:10" s="2" customFormat="1" ht="25.5" x14ac:dyDescent="0.25">
      <c r="A5" s="48">
        <v>1</v>
      </c>
      <c r="B5" s="49" t="s">
        <v>88</v>
      </c>
      <c r="C5" s="48" t="s">
        <v>80</v>
      </c>
      <c r="D5" s="51">
        <v>1</v>
      </c>
      <c r="E5" s="52"/>
      <c r="F5" s="52">
        <f>D5*E5</f>
        <v>0</v>
      </c>
      <c r="G5" s="79"/>
    </row>
    <row r="6" spans="1:10" s="2" customFormat="1" ht="25.5" x14ac:dyDescent="0.25">
      <c r="A6" s="48">
        <v>2</v>
      </c>
      <c r="B6" s="49" t="s">
        <v>64</v>
      </c>
      <c r="C6" s="50" t="s">
        <v>76</v>
      </c>
      <c r="D6" s="52">
        <v>1.66</v>
      </c>
      <c r="E6" s="52"/>
      <c r="F6" s="52">
        <f t="shared" ref="F6:F23" si="0">D6*E6</f>
        <v>0</v>
      </c>
      <c r="G6" s="79"/>
    </row>
    <row r="7" spans="1:10" s="2" customFormat="1" x14ac:dyDescent="0.25">
      <c r="A7" s="48">
        <v>3</v>
      </c>
      <c r="B7" s="49" t="s">
        <v>65</v>
      </c>
      <c r="C7" s="50" t="s">
        <v>76</v>
      </c>
      <c r="D7" s="52">
        <v>1.66</v>
      </c>
      <c r="E7" s="52"/>
      <c r="F7" s="52">
        <f t="shared" si="0"/>
        <v>0</v>
      </c>
      <c r="G7" s="79"/>
    </row>
    <row r="8" spans="1:10" s="2" customFormat="1" ht="38.25" x14ac:dyDescent="0.25">
      <c r="A8" s="48">
        <v>4</v>
      </c>
      <c r="B8" s="49" t="s">
        <v>66</v>
      </c>
      <c r="C8" s="50" t="s">
        <v>77</v>
      </c>
      <c r="D8" s="52">
        <v>78</v>
      </c>
      <c r="E8" s="52"/>
      <c r="F8" s="52">
        <f t="shared" si="0"/>
        <v>0</v>
      </c>
      <c r="G8" s="79"/>
    </row>
    <row r="9" spans="1:10" s="2" customFormat="1" x14ac:dyDescent="0.25">
      <c r="A9" s="48">
        <v>5</v>
      </c>
      <c r="B9" s="49" t="s">
        <v>67</v>
      </c>
      <c r="C9" s="50" t="s">
        <v>78</v>
      </c>
      <c r="D9" s="52">
        <v>200</v>
      </c>
      <c r="E9" s="52"/>
      <c r="F9" s="52">
        <f t="shared" si="0"/>
        <v>0</v>
      </c>
      <c r="G9" s="79"/>
    </row>
    <row r="10" spans="1:10" s="2" customFormat="1" ht="51" x14ac:dyDescent="0.25">
      <c r="A10" s="48">
        <v>6</v>
      </c>
      <c r="B10" s="49" t="s">
        <v>68</v>
      </c>
      <c r="C10" s="50" t="s">
        <v>78</v>
      </c>
      <c r="D10" s="52">
        <v>112</v>
      </c>
      <c r="E10" s="58"/>
      <c r="F10" s="52">
        <f t="shared" si="0"/>
        <v>0</v>
      </c>
      <c r="G10" s="80"/>
    </row>
    <row r="11" spans="1:10" s="2" customFormat="1" ht="25.5" x14ac:dyDescent="0.25">
      <c r="A11" s="48">
        <v>7</v>
      </c>
      <c r="B11" s="49" t="s">
        <v>69</v>
      </c>
      <c r="C11" s="50" t="s">
        <v>79</v>
      </c>
      <c r="D11" s="52">
        <v>200</v>
      </c>
      <c r="E11" s="52"/>
      <c r="F11" s="52">
        <f t="shared" si="0"/>
        <v>0</v>
      </c>
      <c r="G11" s="79"/>
    </row>
    <row r="12" spans="1:10" s="2" customFormat="1" ht="21.75" customHeight="1" x14ac:dyDescent="0.25">
      <c r="A12" s="48">
        <v>8</v>
      </c>
      <c r="B12" s="49" t="s">
        <v>70</v>
      </c>
      <c r="C12" s="50" t="s">
        <v>78</v>
      </c>
      <c r="D12" s="52">
        <v>6</v>
      </c>
      <c r="E12" s="52"/>
      <c r="F12" s="52">
        <f t="shared" si="0"/>
        <v>0</v>
      </c>
      <c r="G12" s="79"/>
    </row>
    <row r="13" spans="1:10" s="2" customFormat="1" x14ac:dyDescent="0.25">
      <c r="A13" s="48">
        <v>9</v>
      </c>
      <c r="B13" s="49" t="s">
        <v>71</v>
      </c>
      <c r="C13" s="50" t="s">
        <v>78</v>
      </c>
      <c r="D13" s="52">
        <v>0.7</v>
      </c>
      <c r="E13" s="52"/>
      <c r="F13" s="52">
        <f t="shared" si="0"/>
        <v>0</v>
      </c>
      <c r="G13" s="79"/>
    </row>
    <row r="14" spans="1:10" s="2" customFormat="1" x14ac:dyDescent="0.25">
      <c r="A14" s="48">
        <v>10</v>
      </c>
      <c r="B14" s="49" t="s">
        <v>72</v>
      </c>
      <c r="C14" s="50" t="s">
        <v>57</v>
      </c>
      <c r="D14" s="52">
        <v>1</v>
      </c>
      <c r="E14" s="52"/>
      <c r="F14" s="52">
        <f t="shared" si="0"/>
        <v>0</v>
      </c>
      <c r="G14" s="79"/>
    </row>
    <row r="15" spans="1:10" s="2" customFormat="1" x14ac:dyDescent="0.25">
      <c r="A15" s="48">
        <v>11</v>
      </c>
      <c r="B15" s="49" t="s">
        <v>73</v>
      </c>
      <c r="C15" s="50" t="s">
        <v>76</v>
      </c>
      <c r="D15" s="52">
        <v>20</v>
      </c>
      <c r="E15" s="52"/>
      <c r="F15" s="52">
        <f t="shared" si="0"/>
        <v>0</v>
      </c>
      <c r="G15" s="79"/>
    </row>
    <row r="16" spans="1:10" s="2" customFormat="1" ht="25.5" x14ac:dyDescent="0.25">
      <c r="A16" s="48">
        <v>12</v>
      </c>
      <c r="B16" s="49" t="s">
        <v>83</v>
      </c>
      <c r="C16" s="50" t="s">
        <v>57</v>
      </c>
      <c r="D16" s="52">
        <v>1</v>
      </c>
      <c r="E16" s="58"/>
      <c r="F16" s="52">
        <f t="shared" si="0"/>
        <v>0</v>
      </c>
      <c r="G16" s="79"/>
    </row>
    <row r="17" spans="1:7" s="2" customFormat="1" x14ac:dyDescent="0.25">
      <c r="A17" s="48">
        <v>13</v>
      </c>
      <c r="B17" s="49" t="s">
        <v>75</v>
      </c>
      <c r="C17" s="50" t="s">
        <v>74</v>
      </c>
      <c r="D17" s="52">
        <v>50</v>
      </c>
      <c r="E17" s="52"/>
      <c r="F17" s="52">
        <f t="shared" si="0"/>
        <v>0</v>
      </c>
      <c r="G17" s="79"/>
    </row>
    <row r="18" spans="1:7" s="2" customFormat="1" ht="25.5" x14ac:dyDescent="0.25">
      <c r="A18" s="48">
        <v>14</v>
      </c>
      <c r="B18" s="49" t="s">
        <v>82</v>
      </c>
      <c r="C18" s="50" t="s">
        <v>80</v>
      </c>
      <c r="D18" s="52">
        <v>2</v>
      </c>
      <c r="E18" s="52"/>
      <c r="F18" s="52">
        <f t="shared" si="0"/>
        <v>0</v>
      </c>
      <c r="G18" s="79"/>
    </row>
    <row r="19" spans="1:7" s="2" customFormat="1" ht="25.5" x14ac:dyDescent="0.25">
      <c r="A19" s="48">
        <v>15</v>
      </c>
      <c r="B19" s="49" t="s">
        <v>81</v>
      </c>
      <c r="C19" s="48" t="s">
        <v>80</v>
      </c>
      <c r="D19" s="52">
        <v>2</v>
      </c>
      <c r="E19" s="52"/>
      <c r="F19" s="52">
        <f t="shared" si="0"/>
        <v>0</v>
      </c>
      <c r="G19" s="79"/>
    </row>
    <row r="20" spans="1:7" s="2" customFormat="1" ht="63.75" x14ac:dyDescent="0.25">
      <c r="A20" s="48">
        <v>16</v>
      </c>
      <c r="B20" s="49" t="s">
        <v>89</v>
      </c>
      <c r="C20" s="48" t="s">
        <v>76</v>
      </c>
      <c r="D20" s="52">
        <v>5.6</v>
      </c>
      <c r="E20" s="52"/>
      <c r="F20" s="52">
        <f t="shared" si="0"/>
        <v>0</v>
      </c>
      <c r="G20" s="79"/>
    </row>
    <row r="21" spans="1:7" s="2" customFormat="1" x14ac:dyDescent="0.25">
      <c r="A21" s="48">
        <v>17</v>
      </c>
      <c r="B21" s="49" t="s">
        <v>85</v>
      </c>
      <c r="C21" s="48" t="s">
        <v>80</v>
      </c>
      <c r="D21" s="51">
        <v>1</v>
      </c>
      <c r="E21" s="52"/>
      <c r="F21" s="52">
        <f t="shared" si="0"/>
        <v>0</v>
      </c>
      <c r="G21" s="79"/>
    </row>
    <row r="22" spans="1:7" s="2" customFormat="1" ht="25.5" x14ac:dyDescent="0.25">
      <c r="A22" s="53">
        <v>18</v>
      </c>
      <c r="B22" s="49" t="s">
        <v>86</v>
      </c>
      <c r="C22" s="48" t="s">
        <v>58</v>
      </c>
      <c r="D22" s="51">
        <v>6</v>
      </c>
      <c r="E22" s="52"/>
      <c r="F22" s="52">
        <f t="shared" si="0"/>
        <v>0</v>
      </c>
      <c r="G22" s="79"/>
    </row>
    <row r="23" spans="1:7" s="2" customFormat="1" ht="25.5" x14ac:dyDescent="0.25">
      <c r="A23" s="53">
        <v>19</v>
      </c>
      <c r="B23" s="49" t="s">
        <v>87</v>
      </c>
      <c r="C23" s="48" t="s">
        <v>58</v>
      </c>
      <c r="D23" s="51">
        <v>6</v>
      </c>
      <c r="E23" s="52"/>
      <c r="F23" s="52">
        <f t="shared" si="0"/>
        <v>0</v>
      </c>
      <c r="G23" s="79"/>
    </row>
    <row r="24" spans="1:7" s="2" customFormat="1" ht="29.25" customHeight="1" x14ac:dyDescent="0.25">
      <c r="A24" s="54"/>
      <c r="B24" s="59" t="s">
        <v>90</v>
      </c>
      <c r="C24" s="60"/>
      <c r="D24" s="61"/>
      <c r="E24" s="62"/>
      <c r="F24" s="57">
        <f>SUM(F5:F23)</f>
        <v>0</v>
      </c>
      <c r="G24" s="79"/>
    </row>
    <row r="26" spans="1:7" x14ac:dyDescent="0.25">
      <c r="F26" s="1"/>
    </row>
    <row r="27" spans="1:7" x14ac:dyDescent="0.25">
      <c r="F27" s="1"/>
    </row>
  </sheetData>
  <mergeCells count="2">
    <mergeCell ref="B2:J2"/>
    <mergeCell ref="A3:F3"/>
  </mergeCells>
  <printOptions horizontalCentered="1" verticalCentered="1"/>
  <pageMargins left="0.19" right="0.36" top="0.48" bottom="0.75" header="0.3" footer="0.3"/>
  <pageSetup paperSize="9" scale="8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84"/>
  <sheetViews>
    <sheetView zoomScale="80" zoomScaleNormal="80" workbookViewId="0">
      <selection activeCell="Q6" sqref="Q6"/>
    </sheetView>
  </sheetViews>
  <sheetFormatPr defaultRowHeight="15" x14ac:dyDescent="0.25"/>
  <cols>
    <col min="1" max="1" width="24.140625" style="1" bestFit="1" customWidth="1"/>
    <col min="2" max="2" width="18.140625" style="1" bestFit="1" customWidth="1"/>
    <col min="3" max="3" width="10.85546875" style="1" customWidth="1"/>
    <col min="4" max="6" width="8.85546875" style="1"/>
    <col min="7" max="7" width="3.85546875" style="1" customWidth="1"/>
    <col min="8" max="8" width="8.85546875" style="1"/>
    <col min="9" max="9" width="10" customWidth="1"/>
    <col min="10" max="10" width="3.85546875" style="1" customWidth="1"/>
    <col min="11" max="11" width="8.85546875" style="1"/>
    <col min="12" max="12" width="10" customWidth="1"/>
    <col min="13" max="13" width="4.85546875" customWidth="1"/>
    <col min="14" max="14" width="7.42578125" style="2" customWidth="1"/>
    <col min="15" max="15" width="13.85546875" customWidth="1"/>
    <col min="16" max="16" width="17" customWidth="1"/>
    <col min="17" max="17" width="15" customWidth="1"/>
    <col min="18" max="18" width="16.42578125" bestFit="1" customWidth="1"/>
    <col min="19" max="19" width="17" bestFit="1" customWidth="1"/>
    <col min="20" max="20" width="12.140625" bestFit="1" customWidth="1"/>
  </cols>
  <sheetData>
    <row r="1" spans="1:19" s="2" customFormat="1" x14ac:dyDescent="0.25">
      <c r="A1" s="6"/>
      <c r="B1" s="6"/>
      <c r="C1" s="6"/>
      <c r="D1" s="6"/>
      <c r="E1" s="6"/>
      <c r="F1" s="6"/>
      <c r="G1" s="6"/>
      <c r="H1" s="6"/>
      <c r="J1" s="6"/>
      <c r="K1" s="6"/>
    </row>
    <row r="2" spans="1:19" s="13" customFormat="1" x14ac:dyDescent="0.25">
      <c r="A2" s="74" t="s">
        <v>1</v>
      </c>
      <c r="B2" s="74"/>
      <c r="C2" s="29" t="s">
        <v>2</v>
      </c>
      <c r="D2" s="29" t="s">
        <v>3</v>
      </c>
      <c r="E2" s="29" t="s">
        <v>4</v>
      </c>
      <c r="F2" s="29" t="s">
        <v>5</v>
      </c>
      <c r="G2" s="12"/>
      <c r="H2" s="74" t="s">
        <v>6</v>
      </c>
      <c r="I2" s="74"/>
      <c r="J2" s="12"/>
      <c r="K2" s="74" t="s">
        <v>7</v>
      </c>
      <c r="L2" s="74"/>
      <c r="N2" s="2"/>
    </row>
    <row r="3" spans="1:19" s="2" customFormat="1" x14ac:dyDescent="0.25">
      <c r="A3" s="6"/>
      <c r="B3" s="6"/>
      <c r="C3" s="6"/>
      <c r="D3" s="6"/>
      <c r="E3" s="6"/>
      <c r="F3" s="6"/>
      <c r="G3" s="6"/>
      <c r="H3" s="6"/>
      <c r="J3" s="6"/>
      <c r="K3" s="6"/>
    </row>
    <row r="4" spans="1:19" s="2" customFormat="1" x14ac:dyDescent="0.25">
      <c r="A4" s="77" t="s">
        <v>8</v>
      </c>
      <c r="B4" s="8" t="s">
        <v>9</v>
      </c>
      <c r="C4" s="8">
        <f>0.2+0.8+0.2</f>
        <v>1.2</v>
      </c>
      <c r="D4" s="8">
        <f>0.2+14+0.2</f>
        <v>14.399999999999999</v>
      </c>
      <c r="E4" s="8">
        <v>0.55000000000000004</v>
      </c>
      <c r="F4" s="8">
        <v>2</v>
      </c>
      <c r="G4" s="6"/>
      <c r="H4" s="6"/>
      <c r="I4" s="9"/>
      <c r="J4" s="6"/>
      <c r="K4" s="5">
        <f>C4*D4*E4*F4</f>
        <v>19.007999999999999</v>
      </c>
      <c r="L4" s="64">
        <f>K4+K5</f>
        <v>26.135999999999999</v>
      </c>
    </row>
    <row r="5" spans="1:19" s="2" customFormat="1" x14ac:dyDescent="0.25">
      <c r="A5" s="78"/>
      <c r="B5" s="8" t="s">
        <v>10</v>
      </c>
      <c r="C5" s="8">
        <f>0.2+0.8+0.2</f>
        <v>1.2</v>
      </c>
      <c r="D5" s="8">
        <f>3.5-0.8</f>
        <v>2.7</v>
      </c>
      <c r="E5" s="8">
        <v>0.55000000000000004</v>
      </c>
      <c r="F5" s="8">
        <v>4</v>
      </c>
      <c r="G5" s="6"/>
      <c r="H5" s="14"/>
      <c r="I5" s="9"/>
      <c r="J5" s="6"/>
      <c r="K5" s="5">
        <f>C5*D5*E5*F5</f>
        <v>7.128000000000001</v>
      </c>
      <c r="L5" s="64"/>
    </row>
    <row r="6" spans="1:19" s="2" customFormat="1" x14ac:dyDescent="0.25">
      <c r="A6" s="77" t="s">
        <v>11</v>
      </c>
      <c r="B6" s="8" t="s">
        <v>9</v>
      </c>
      <c r="C6" s="8">
        <f>0.2+0.8+0.2</f>
        <v>1.2</v>
      </c>
      <c r="D6" s="8">
        <f>0.2+14+0.2</f>
        <v>14.399999999999999</v>
      </c>
      <c r="E6" s="8"/>
      <c r="F6" s="8">
        <v>2</v>
      </c>
      <c r="G6" s="6"/>
      <c r="H6" s="5">
        <f>C6*D6*F6</f>
        <v>34.559999999999995</v>
      </c>
      <c r="I6" s="64">
        <f>H6+H7</f>
        <v>47.519999999999996</v>
      </c>
      <c r="J6" s="6"/>
      <c r="K6" s="15"/>
      <c r="L6" s="16"/>
    </row>
    <row r="7" spans="1:19" s="2" customFormat="1" x14ac:dyDescent="0.25">
      <c r="A7" s="78"/>
      <c r="B7" s="8" t="s">
        <v>10</v>
      </c>
      <c r="C7" s="8">
        <f>0.2+0.8+0.2</f>
        <v>1.2</v>
      </c>
      <c r="D7" s="8">
        <f>3.5-0.8</f>
        <v>2.7</v>
      </c>
      <c r="E7" s="8"/>
      <c r="F7" s="8">
        <v>4</v>
      </c>
      <c r="G7" s="6"/>
      <c r="H7" s="5">
        <f>C7*D7*F7</f>
        <v>12.96</v>
      </c>
      <c r="I7" s="64"/>
      <c r="J7" s="6"/>
      <c r="K7" s="15"/>
      <c r="L7" s="16"/>
    </row>
    <row r="8" spans="1:19" s="2" customFormat="1" x14ac:dyDescent="0.25">
      <c r="A8" s="6"/>
      <c r="B8" s="6"/>
      <c r="C8" s="6"/>
      <c r="D8" s="6"/>
      <c r="E8" s="6"/>
      <c r="F8" s="6"/>
      <c r="G8" s="6"/>
      <c r="H8" s="6"/>
      <c r="J8" s="6"/>
      <c r="K8" s="6"/>
    </row>
    <row r="9" spans="1:19" s="2" customFormat="1" ht="30" x14ac:dyDescent="0.25">
      <c r="A9" s="27" t="s">
        <v>12</v>
      </c>
      <c r="B9" s="7">
        <f>(C15*D15*0.5*F15)+(C16*D16*0.5*F16)</f>
        <v>15.920000000000002</v>
      </c>
      <c r="C9" s="8"/>
      <c r="D9" s="8"/>
      <c r="E9" s="8"/>
      <c r="F9" s="8"/>
      <c r="G9" s="6"/>
      <c r="H9" s="6"/>
      <c r="I9" s="9"/>
      <c r="J9" s="6"/>
      <c r="K9" s="5"/>
      <c r="L9" s="28">
        <f>L4-(L11+B9)</f>
        <v>8.6239999999999988</v>
      </c>
      <c r="M9" s="10"/>
    </row>
    <row r="10" spans="1:19" s="2" customFormat="1" x14ac:dyDescent="0.25">
      <c r="A10" s="6"/>
      <c r="B10" s="6"/>
      <c r="C10" s="6"/>
      <c r="D10" s="6"/>
      <c r="E10" s="6"/>
      <c r="F10" s="6"/>
      <c r="G10" s="6"/>
      <c r="H10" s="6"/>
      <c r="J10" s="6"/>
      <c r="K10" s="15"/>
      <c r="L10" s="10"/>
      <c r="O10" s="34" t="s">
        <v>13</v>
      </c>
    </row>
    <row r="11" spans="1:19" s="2" customFormat="1" x14ac:dyDescent="0.25">
      <c r="A11" s="75" t="s">
        <v>14</v>
      </c>
      <c r="B11" s="8" t="s">
        <v>9</v>
      </c>
      <c r="C11" s="5">
        <f>0.8</f>
        <v>0.8</v>
      </c>
      <c r="D11" s="5">
        <f>13.9</f>
        <v>13.9</v>
      </c>
      <c r="E11" s="8">
        <v>0.05</v>
      </c>
      <c r="F11" s="8">
        <v>2</v>
      </c>
      <c r="G11" s="6"/>
      <c r="H11" s="6"/>
      <c r="I11" s="11"/>
      <c r="J11" s="6"/>
      <c r="K11" s="5">
        <f>C11*D11*E11*F11</f>
        <v>1.1120000000000001</v>
      </c>
      <c r="L11" s="64">
        <f>K11+K12</f>
        <v>1.5920000000000001</v>
      </c>
      <c r="O11" s="2" t="s">
        <v>15</v>
      </c>
      <c r="P11" s="38" t="s">
        <v>16</v>
      </c>
      <c r="Q11" s="20" t="s">
        <v>17</v>
      </c>
      <c r="R11" s="38" t="s">
        <v>18</v>
      </c>
      <c r="S11" s="38" t="s">
        <v>19</v>
      </c>
    </row>
    <row r="12" spans="1:19" s="2" customFormat="1" x14ac:dyDescent="0.25">
      <c r="A12" s="76"/>
      <c r="B12" s="8" t="s">
        <v>10</v>
      </c>
      <c r="C12" s="5">
        <f>0.8</f>
        <v>0.8</v>
      </c>
      <c r="D12" s="5">
        <v>3</v>
      </c>
      <c r="E12" s="8">
        <v>0.05</v>
      </c>
      <c r="F12" s="8">
        <v>4</v>
      </c>
      <c r="G12" s="6"/>
      <c r="H12" s="14"/>
      <c r="I12" s="9"/>
      <c r="J12" s="6"/>
      <c r="K12" s="5">
        <f>C12*D12*E12*F12</f>
        <v>0.48000000000000009</v>
      </c>
      <c r="L12" s="64"/>
      <c r="O12" s="14">
        <f>(1/10*1.52)*L11</f>
        <v>0.24198400000000006</v>
      </c>
      <c r="P12" s="36">
        <f>O12/0.035</f>
        <v>6.9138285714285725</v>
      </c>
      <c r="Q12" s="25">
        <f>P12*50</f>
        <v>345.69142857142862</v>
      </c>
      <c r="R12" s="36">
        <f>(3/10*1.52)*L11</f>
        <v>0.72595199999999993</v>
      </c>
      <c r="S12" s="36">
        <f>(6/10*1.52)*L11</f>
        <v>1.4519039999999999</v>
      </c>
    </row>
    <row r="13" spans="1:19" s="2" customFormat="1" x14ac:dyDescent="0.25">
      <c r="A13" s="45"/>
      <c r="B13" s="6"/>
      <c r="C13" s="15"/>
      <c r="D13" s="15"/>
      <c r="E13" s="6"/>
      <c r="F13" s="6"/>
      <c r="G13" s="6"/>
      <c r="H13" s="14"/>
      <c r="I13" s="9"/>
      <c r="J13" s="6"/>
      <c r="K13" s="15"/>
      <c r="L13" s="33"/>
      <c r="O13" s="14"/>
      <c r="P13" s="42"/>
      <c r="Q13" s="25"/>
      <c r="R13" s="42"/>
      <c r="S13" s="42"/>
    </row>
    <row r="14" spans="1:19" s="2" customFormat="1" x14ac:dyDescent="0.25">
      <c r="A14" s="6"/>
      <c r="B14" s="6"/>
      <c r="C14" s="6"/>
      <c r="D14" s="6"/>
      <c r="E14" s="6"/>
      <c r="F14" s="6"/>
      <c r="G14" s="6"/>
      <c r="H14" s="6"/>
      <c r="J14" s="6"/>
      <c r="K14" s="15"/>
      <c r="L14" s="10"/>
      <c r="N14"/>
      <c r="O14" s="39" t="s">
        <v>20</v>
      </c>
      <c r="P14"/>
      <c r="Q14"/>
      <c r="R14"/>
    </row>
    <row r="15" spans="1:19" s="2" customFormat="1" x14ac:dyDescent="0.25">
      <c r="A15" s="71" t="s">
        <v>21</v>
      </c>
      <c r="B15" s="8" t="s">
        <v>9</v>
      </c>
      <c r="C15" s="5">
        <v>0.8</v>
      </c>
      <c r="D15" s="5">
        <v>13.9</v>
      </c>
      <c r="E15" s="8">
        <f>0.5+0.6</f>
        <v>1.1000000000000001</v>
      </c>
      <c r="F15" s="8">
        <v>2</v>
      </c>
      <c r="G15" s="6"/>
      <c r="H15" s="6"/>
      <c r="I15" s="9"/>
      <c r="J15" s="6"/>
      <c r="K15" s="5">
        <f>C15*D15*E15*F15</f>
        <v>24.464000000000006</v>
      </c>
      <c r="L15" s="64">
        <f>K15+K16</f>
        <v>35.024000000000008</v>
      </c>
      <c r="N15"/>
      <c r="O15" s="2" t="s">
        <v>15</v>
      </c>
      <c r="P15" s="43" t="s">
        <v>16</v>
      </c>
      <c r="Q15" s="20" t="s">
        <v>17</v>
      </c>
      <c r="R15" s="43" t="s">
        <v>18</v>
      </c>
    </row>
    <row r="16" spans="1:19" s="2" customFormat="1" x14ac:dyDescent="0.25">
      <c r="A16" s="71"/>
      <c r="B16" s="8" t="s">
        <v>10</v>
      </c>
      <c r="C16" s="5">
        <v>0.8</v>
      </c>
      <c r="D16" s="5">
        <v>3</v>
      </c>
      <c r="E16" s="8">
        <f>0.5+0.6</f>
        <v>1.1000000000000001</v>
      </c>
      <c r="F16" s="8">
        <v>4</v>
      </c>
      <c r="G16" s="6"/>
      <c r="H16" s="14"/>
      <c r="I16" s="9"/>
      <c r="J16" s="6"/>
      <c r="K16" s="5">
        <f>C16*D16*E16*F16</f>
        <v>10.560000000000002</v>
      </c>
      <c r="L16" s="64"/>
      <c r="N16" s="40">
        <f>L15</f>
        <v>35.024000000000008</v>
      </c>
      <c r="O16" s="14">
        <f>0.35*(1/7*1.33)*N16</f>
        <v>2.3290960000000003</v>
      </c>
      <c r="P16" s="44">
        <f>O16/0.035</f>
        <v>66.545600000000007</v>
      </c>
      <c r="Q16" s="25">
        <f>P16*50</f>
        <v>3327.28</v>
      </c>
      <c r="R16" s="44">
        <f>0.35*(6/7*1.33)*N16</f>
        <v>13.974576000000003</v>
      </c>
    </row>
    <row r="17" spans="1:20" s="2" customFormat="1" x14ac:dyDescent="0.25">
      <c r="A17" s="32"/>
      <c r="B17" s="6"/>
      <c r="C17" s="15"/>
      <c r="D17" s="15"/>
      <c r="E17" s="6"/>
      <c r="F17" s="6"/>
      <c r="G17" s="6"/>
      <c r="H17" s="14"/>
      <c r="I17" s="9"/>
      <c r="J17" s="6"/>
      <c r="K17" s="15"/>
      <c r="L17" s="33"/>
      <c r="N17" s="46"/>
      <c r="O17" s="14"/>
      <c r="P17" s="42"/>
      <c r="Q17" s="25"/>
      <c r="R17" s="42"/>
    </row>
    <row r="18" spans="1:20" s="3" customFormat="1" x14ac:dyDescent="0.25">
      <c r="A18" s="4"/>
      <c r="B18" s="4"/>
      <c r="C18" s="4"/>
      <c r="D18" s="4"/>
      <c r="E18" s="4"/>
      <c r="F18" s="4"/>
      <c r="G18" s="4"/>
      <c r="H18" s="4"/>
      <c r="J18" s="4"/>
      <c r="K18" s="4"/>
      <c r="N18" s="2"/>
      <c r="Q18" s="39" t="s">
        <v>22</v>
      </c>
      <c r="R18"/>
      <c r="S18"/>
      <c r="T18"/>
    </row>
    <row r="19" spans="1:20" s="2" customFormat="1" x14ac:dyDescent="0.25">
      <c r="A19" s="63" t="s">
        <v>23</v>
      </c>
      <c r="B19" s="8" t="s">
        <v>9</v>
      </c>
      <c r="C19" s="7">
        <f t="shared" ref="C19:C25" si="0">3-1.45-1.2</f>
        <v>0.35000000000000009</v>
      </c>
      <c r="D19" s="5">
        <v>13.5</v>
      </c>
      <c r="E19" s="8">
        <f>2.5+0.6</f>
        <v>3.1</v>
      </c>
      <c r="F19" s="8">
        <v>2</v>
      </c>
      <c r="G19" s="6"/>
      <c r="H19" s="6"/>
      <c r="I19" s="9"/>
      <c r="J19" s="6"/>
      <c r="K19" s="5">
        <f t="shared" ref="K19:K25" si="1">C19*D19*E19*F19</f>
        <v>29.295000000000009</v>
      </c>
      <c r="L19" s="64">
        <f>(K19+K20+K21+K22)-K23-K24-K25</f>
        <v>39.616500000000002</v>
      </c>
      <c r="O19" s="2" t="s">
        <v>24</v>
      </c>
      <c r="P19" s="30" t="s">
        <v>25</v>
      </c>
      <c r="Q19" s="2" t="s">
        <v>15</v>
      </c>
      <c r="R19" s="30" t="s">
        <v>16</v>
      </c>
      <c r="S19" s="20" t="s">
        <v>17</v>
      </c>
      <c r="T19" s="30" t="s">
        <v>18</v>
      </c>
    </row>
    <row r="20" spans="1:20" s="2" customFormat="1" x14ac:dyDescent="0.25">
      <c r="A20" s="63"/>
      <c r="B20" s="8" t="s">
        <v>26</v>
      </c>
      <c r="C20" s="7">
        <f t="shared" si="0"/>
        <v>0.35000000000000009</v>
      </c>
      <c r="D20" s="5">
        <v>3.3</v>
      </c>
      <c r="E20" s="8">
        <f>2.5+0.6</f>
        <v>3.1</v>
      </c>
      <c r="F20" s="8">
        <v>2</v>
      </c>
      <c r="G20" s="6"/>
      <c r="H20" s="14"/>
      <c r="I20" s="9"/>
      <c r="J20" s="6"/>
      <c r="K20" s="5">
        <f t="shared" si="1"/>
        <v>7.1610000000000014</v>
      </c>
      <c r="L20" s="64"/>
      <c r="O20" s="24">
        <f>(0.22+0.02)*(0.11+0.02)*(0.06+0.02)</f>
        <v>2.496E-3</v>
      </c>
      <c r="P20" s="31">
        <f>L19/O20</f>
        <v>15871.995192307693</v>
      </c>
      <c r="Q20" s="14">
        <f>0.175*(1/7*1.33)*L19</f>
        <v>1.317248625</v>
      </c>
      <c r="R20" s="41">
        <f>Q20/0.035</f>
        <v>37.635674999999992</v>
      </c>
      <c r="S20" s="25">
        <f>R20*50</f>
        <v>1881.7837499999996</v>
      </c>
      <c r="T20" s="41">
        <f>0.175*(6/7*1.33)*L19</f>
        <v>7.9034917499999997</v>
      </c>
    </row>
    <row r="21" spans="1:20" s="2" customFormat="1" x14ac:dyDescent="0.25">
      <c r="A21" s="63"/>
      <c r="B21" s="8" t="s">
        <v>27</v>
      </c>
      <c r="C21" s="7">
        <f t="shared" si="0"/>
        <v>0.35000000000000009</v>
      </c>
      <c r="D21" s="5">
        <f>3.3</f>
        <v>3.3</v>
      </c>
      <c r="E21" s="8">
        <v>2.5</v>
      </c>
      <c r="F21" s="8">
        <v>2</v>
      </c>
      <c r="G21" s="6"/>
      <c r="H21" s="14"/>
      <c r="I21" s="9"/>
      <c r="J21" s="6"/>
      <c r="K21" s="5">
        <f t="shared" si="1"/>
        <v>5.7750000000000012</v>
      </c>
      <c r="L21" s="64"/>
    </row>
    <row r="22" spans="1:20" s="2" customFormat="1" x14ac:dyDescent="0.25">
      <c r="A22" s="63"/>
      <c r="B22" s="8" t="s">
        <v>28</v>
      </c>
      <c r="C22" s="7">
        <f t="shared" si="0"/>
        <v>0.35000000000000009</v>
      </c>
      <c r="D22" s="5">
        <v>1.5</v>
      </c>
      <c r="E22" s="8">
        <v>2.5</v>
      </c>
      <c r="F22" s="8">
        <v>1</v>
      </c>
      <c r="G22" s="6"/>
      <c r="H22" s="14"/>
      <c r="I22" s="9"/>
      <c r="J22" s="6"/>
      <c r="K22" s="5">
        <f t="shared" si="1"/>
        <v>1.3125000000000004</v>
      </c>
      <c r="L22" s="64"/>
    </row>
    <row r="23" spans="1:20" s="2" customFormat="1" x14ac:dyDescent="0.25">
      <c r="A23" s="63"/>
      <c r="B23" s="8" t="s">
        <v>29</v>
      </c>
      <c r="C23" s="7">
        <f t="shared" si="0"/>
        <v>0.35000000000000009</v>
      </c>
      <c r="D23" s="5">
        <v>1</v>
      </c>
      <c r="E23" s="5">
        <v>2</v>
      </c>
      <c r="F23" s="8">
        <v>3</v>
      </c>
      <c r="G23" s="6"/>
      <c r="H23" s="14"/>
      <c r="I23" s="9"/>
      <c r="J23" s="6"/>
      <c r="K23" s="5">
        <f t="shared" si="1"/>
        <v>2.1000000000000005</v>
      </c>
      <c r="L23" s="64"/>
      <c r="O23" s="24"/>
      <c r="P23" s="26"/>
    </row>
    <row r="24" spans="1:20" s="2" customFormat="1" x14ac:dyDescent="0.25">
      <c r="A24" s="63"/>
      <c r="B24" s="8" t="s">
        <v>30</v>
      </c>
      <c r="C24" s="7">
        <f t="shared" si="0"/>
        <v>0.35000000000000009</v>
      </c>
      <c r="D24" s="5">
        <v>1.5</v>
      </c>
      <c r="E24" s="5">
        <v>1.5</v>
      </c>
      <c r="F24" s="8">
        <v>2</v>
      </c>
      <c r="G24" s="6"/>
      <c r="H24" s="14"/>
      <c r="I24" s="9"/>
      <c r="J24" s="6"/>
      <c r="K24" s="5">
        <f t="shared" si="1"/>
        <v>1.5750000000000004</v>
      </c>
      <c r="L24" s="64"/>
      <c r="O24" s="24"/>
      <c r="P24" s="26"/>
    </row>
    <row r="25" spans="1:20" s="2" customFormat="1" x14ac:dyDescent="0.25">
      <c r="A25" s="63"/>
      <c r="B25" s="8" t="s">
        <v>30</v>
      </c>
      <c r="C25" s="7">
        <f t="shared" si="0"/>
        <v>0.35000000000000009</v>
      </c>
      <c r="D25" s="5">
        <v>0.9</v>
      </c>
      <c r="E25" s="5">
        <v>0.8</v>
      </c>
      <c r="F25" s="8">
        <v>1</v>
      </c>
      <c r="G25" s="6"/>
      <c r="H25" s="14"/>
      <c r="I25" s="9"/>
      <c r="J25" s="6"/>
      <c r="K25" s="5">
        <f t="shared" si="1"/>
        <v>0.25200000000000011</v>
      </c>
      <c r="L25" s="64"/>
      <c r="O25" s="24"/>
      <c r="P25" s="26"/>
    </row>
    <row r="26" spans="1:20" s="3" customFormat="1" x14ac:dyDescent="0.25">
      <c r="A26" s="4"/>
      <c r="B26" s="4"/>
      <c r="C26" s="4"/>
      <c r="D26" s="4"/>
      <c r="E26" s="4"/>
      <c r="F26" s="4"/>
      <c r="G26" s="4"/>
      <c r="H26" s="4"/>
      <c r="J26" s="4"/>
      <c r="K26" s="4"/>
      <c r="N26" s="2"/>
    </row>
    <row r="27" spans="1:20" s="21" customFormat="1" ht="30" x14ac:dyDescent="0.25">
      <c r="A27" s="27" t="s">
        <v>31</v>
      </c>
      <c r="B27" s="17" t="s">
        <v>32</v>
      </c>
      <c r="C27" s="18">
        <v>0.02</v>
      </c>
      <c r="D27" s="19">
        <f>(13.5*2)+(4*2)</f>
        <v>35</v>
      </c>
      <c r="E27" s="17">
        <f>2.5+0.6</f>
        <v>3.1</v>
      </c>
      <c r="F27" s="17"/>
      <c r="G27" s="20"/>
      <c r="H27" s="19">
        <f>D27*E27</f>
        <v>108.5</v>
      </c>
      <c r="I27" s="28">
        <f>H27</f>
        <v>108.5</v>
      </c>
      <c r="J27" s="20"/>
      <c r="N27" s="2"/>
    </row>
    <row r="28" spans="1:20" s="2" customFormat="1" x14ac:dyDescent="0.25">
      <c r="A28" s="6"/>
      <c r="B28" s="6"/>
      <c r="C28" s="6"/>
      <c r="D28" s="6"/>
      <c r="E28" s="6"/>
      <c r="F28" s="6"/>
      <c r="G28" s="6"/>
      <c r="H28" s="6"/>
      <c r="J28" s="6"/>
    </row>
    <row r="29" spans="1:20" s="2" customFormat="1" x14ac:dyDescent="0.25">
      <c r="A29" s="65" t="s">
        <v>33</v>
      </c>
      <c r="B29" s="8" t="s">
        <v>34</v>
      </c>
      <c r="C29" s="7">
        <v>0.03</v>
      </c>
      <c r="D29" s="5">
        <f>(5*2)+(3*2)</f>
        <v>16</v>
      </c>
      <c r="E29" s="8">
        <v>2.7</v>
      </c>
      <c r="F29" s="8"/>
      <c r="G29" s="6"/>
      <c r="H29" s="5">
        <f>D29*E29</f>
        <v>43.2</v>
      </c>
      <c r="I29" s="64">
        <f>H29+H30+H31+H32</f>
        <v>122.31</v>
      </c>
      <c r="J29" s="6"/>
    </row>
    <row r="30" spans="1:20" s="2" customFormat="1" x14ac:dyDescent="0.25">
      <c r="A30" s="66"/>
      <c r="B30" s="8" t="s">
        <v>35</v>
      </c>
      <c r="C30" s="7">
        <v>0.03</v>
      </c>
      <c r="D30" s="5">
        <f>(4*2)+(3*2)</f>
        <v>14</v>
      </c>
      <c r="E30" s="8">
        <v>2.7</v>
      </c>
      <c r="F30" s="8"/>
      <c r="G30" s="6"/>
      <c r="H30" s="5">
        <f>D30*E30</f>
        <v>37.800000000000004</v>
      </c>
      <c r="I30" s="64"/>
      <c r="J30" s="6"/>
      <c r="M30" s="21"/>
      <c r="O30" s="21"/>
      <c r="P30" s="21"/>
    </row>
    <row r="31" spans="1:20" s="2" customFormat="1" x14ac:dyDescent="0.25">
      <c r="A31" s="66"/>
      <c r="B31" s="8" t="s">
        <v>36</v>
      </c>
      <c r="C31" s="7">
        <v>0.03</v>
      </c>
      <c r="D31" s="5">
        <f>(2.5*2)+(1.45*2)</f>
        <v>7.9</v>
      </c>
      <c r="E31" s="8">
        <v>2.7</v>
      </c>
      <c r="F31" s="8"/>
      <c r="G31" s="6"/>
      <c r="H31" s="5">
        <f>D31*E31</f>
        <v>21.330000000000002</v>
      </c>
      <c r="I31" s="64"/>
      <c r="J31" s="6"/>
    </row>
    <row r="32" spans="1:20" s="2" customFormat="1" x14ac:dyDescent="0.25">
      <c r="A32" s="67"/>
      <c r="B32" s="8" t="s">
        <v>37</v>
      </c>
      <c r="C32" s="7">
        <v>0.03</v>
      </c>
      <c r="D32" s="5">
        <f>(2.5*2)+(1.2*2)</f>
        <v>7.4</v>
      </c>
      <c r="E32" s="8">
        <v>2.7</v>
      </c>
      <c r="F32" s="8"/>
      <c r="G32" s="6"/>
      <c r="H32" s="5">
        <f>D32*E32</f>
        <v>19.980000000000004</v>
      </c>
      <c r="I32" s="64"/>
      <c r="J32" s="6"/>
    </row>
    <row r="33" spans="1:19" s="2" customFormat="1" x14ac:dyDescent="0.25">
      <c r="A33" s="6"/>
      <c r="B33" s="6"/>
      <c r="C33" s="6"/>
      <c r="D33" s="6"/>
      <c r="E33" s="6"/>
      <c r="F33" s="6"/>
      <c r="G33" s="6"/>
      <c r="H33" s="6"/>
      <c r="J33" s="6"/>
      <c r="K33" s="6"/>
      <c r="O33" s="34" t="s">
        <v>13</v>
      </c>
    </row>
    <row r="34" spans="1:19" s="2" customFormat="1" x14ac:dyDescent="0.25">
      <c r="A34" s="27" t="s">
        <v>38</v>
      </c>
      <c r="B34" s="8"/>
      <c r="C34" s="5">
        <v>4</v>
      </c>
      <c r="D34" s="5">
        <v>13.5</v>
      </c>
      <c r="E34" s="8"/>
      <c r="F34" s="8">
        <v>1</v>
      </c>
      <c r="G34" s="6"/>
      <c r="H34" s="5">
        <f>C34*D34*F34</f>
        <v>54</v>
      </c>
      <c r="I34" s="28">
        <f>H34</f>
        <v>54</v>
      </c>
      <c r="J34" s="6"/>
      <c r="K34" s="6"/>
      <c r="O34" s="2" t="s">
        <v>15</v>
      </c>
      <c r="P34" s="38" t="s">
        <v>16</v>
      </c>
      <c r="Q34" s="20" t="s">
        <v>17</v>
      </c>
      <c r="R34" s="38" t="s">
        <v>18</v>
      </c>
      <c r="S34" s="38" t="s">
        <v>19</v>
      </c>
    </row>
    <row r="35" spans="1:19" s="2" customFormat="1" x14ac:dyDescent="0.25">
      <c r="A35" s="37" t="s">
        <v>39</v>
      </c>
      <c r="B35" s="8"/>
      <c r="C35" s="5">
        <v>4</v>
      </c>
      <c r="D35" s="5">
        <v>13.5</v>
      </c>
      <c r="E35" s="8">
        <v>0.05</v>
      </c>
      <c r="F35" s="8">
        <v>1</v>
      </c>
      <c r="G35" s="6"/>
      <c r="H35" s="6"/>
      <c r="I35" s="11"/>
      <c r="J35" s="6"/>
      <c r="K35" s="5">
        <f>C35*D35*E35*F35</f>
        <v>2.7</v>
      </c>
      <c r="L35" s="28">
        <f>K35</f>
        <v>2.7</v>
      </c>
      <c r="O35" s="14">
        <f>(1/10*1.52)*L35</f>
        <v>0.4104000000000001</v>
      </c>
      <c r="P35" s="36">
        <f>O35/0.035</f>
        <v>11.725714285714288</v>
      </c>
      <c r="Q35" s="25">
        <f>P35*50</f>
        <v>586.28571428571433</v>
      </c>
      <c r="R35" s="36">
        <f>(3/10*1.52)*L35</f>
        <v>1.2312000000000001</v>
      </c>
      <c r="S35" s="36">
        <f>(6/10*1.52)*L35</f>
        <v>2.4624000000000001</v>
      </c>
    </row>
    <row r="36" spans="1:19" s="2" customFormat="1" x14ac:dyDescent="0.25">
      <c r="A36" s="6"/>
      <c r="B36" s="6"/>
      <c r="C36" s="6"/>
      <c r="D36" s="6"/>
      <c r="E36" s="6"/>
      <c r="F36" s="6"/>
      <c r="G36" s="6"/>
      <c r="H36" s="6"/>
      <c r="J36" s="6"/>
      <c r="K36" s="6"/>
    </row>
    <row r="37" spans="1:19" s="2" customFormat="1" x14ac:dyDescent="0.25">
      <c r="A37" s="27" t="s">
        <v>40</v>
      </c>
      <c r="B37" s="8"/>
      <c r="C37" s="5">
        <v>3.7</v>
      </c>
      <c r="D37" s="5">
        <f>12.1</f>
        <v>12.1</v>
      </c>
      <c r="E37" s="8"/>
      <c r="F37" s="8">
        <v>1</v>
      </c>
      <c r="G37" s="6"/>
      <c r="H37" s="5">
        <f>C37*D37*F37</f>
        <v>44.77</v>
      </c>
      <c r="I37" s="28">
        <f>H37</f>
        <v>44.77</v>
      </c>
      <c r="J37" s="6"/>
      <c r="K37" s="6"/>
    </row>
    <row r="38" spans="1:19" s="2" customFormat="1" x14ac:dyDescent="0.25">
      <c r="A38" s="27" t="s">
        <v>41</v>
      </c>
      <c r="B38" s="8"/>
      <c r="C38" s="5">
        <v>3.7</v>
      </c>
      <c r="D38" s="5">
        <v>12.1</v>
      </c>
      <c r="E38" s="8">
        <v>0.2</v>
      </c>
      <c r="F38" s="8">
        <v>1</v>
      </c>
      <c r="G38" s="6"/>
      <c r="H38" s="6"/>
      <c r="J38" s="6"/>
      <c r="K38" s="5">
        <f>C38*D38*E38*F38</f>
        <v>8.9540000000000006</v>
      </c>
      <c r="L38" s="28">
        <f>K38</f>
        <v>8.9540000000000006</v>
      </c>
    </row>
    <row r="39" spans="1:19" s="2" customFormat="1" x14ac:dyDescent="0.25">
      <c r="A39" s="27" t="s">
        <v>42</v>
      </c>
      <c r="B39" s="8"/>
      <c r="C39" s="5">
        <v>3.7</v>
      </c>
      <c r="D39" s="5">
        <v>12.1</v>
      </c>
      <c r="E39" s="8">
        <v>0.1</v>
      </c>
      <c r="F39" s="8">
        <v>1</v>
      </c>
      <c r="G39" s="6"/>
      <c r="H39" s="6"/>
      <c r="J39" s="6"/>
      <c r="K39" s="5">
        <f>C39*D39*E39*F39</f>
        <v>4.4770000000000003</v>
      </c>
      <c r="L39" s="28">
        <f>K39</f>
        <v>4.4770000000000003</v>
      </c>
    </row>
    <row r="40" spans="1:19" s="2" customFormat="1" x14ac:dyDescent="0.25">
      <c r="A40" s="27" t="s">
        <v>43</v>
      </c>
      <c r="B40" s="8"/>
      <c r="C40" s="5">
        <v>3.7</v>
      </c>
      <c r="D40" s="5">
        <v>12.1</v>
      </c>
      <c r="E40" s="8">
        <v>0.05</v>
      </c>
      <c r="F40" s="8">
        <v>1</v>
      </c>
      <c r="G40" s="6"/>
      <c r="H40" s="6"/>
      <c r="J40" s="6"/>
      <c r="K40" s="5">
        <f>C40*D40*E40*F40</f>
        <v>2.2385000000000002</v>
      </c>
      <c r="L40" s="28">
        <f>K40</f>
        <v>2.2385000000000002</v>
      </c>
    </row>
    <row r="41" spans="1:19" s="2" customFormat="1" x14ac:dyDescent="0.25">
      <c r="A41" s="6"/>
      <c r="B41" s="6"/>
      <c r="C41" s="6"/>
      <c r="D41" s="6"/>
      <c r="E41" s="6"/>
      <c r="F41" s="6"/>
      <c r="G41" s="6"/>
      <c r="H41" s="6"/>
      <c r="J41" s="6"/>
      <c r="K41" s="6"/>
    </row>
    <row r="42" spans="1:19" s="2" customFormat="1" x14ac:dyDescent="0.25">
      <c r="A42" s="65" t="s">
        <v>44</v>
      </c>
      <c r="B42" s="8" t="s">
        <v>45</v>
      </c>
      <c r="C42" s="5">
        <v>0.3</v>
      </c>
      <c r="D42" s="5">
        <v>1.5</v>
      </c>
      <c r="E42" s="8">
        <v>0.15</v>
      </c>
      <c r="F42" s="8">
        <v>1</v>
      </c>
      <c r="G42" s="6"/>
      <c r="H42" s="6"/>
      <c r="J42" s="6"/>
      <c r="K42" s="5">
        <f>C42*D42*E42*F42</f>
        <v>6.7499999999999991E-2</v>
      </c>
      <c r="L42" s="68">
        <f>K42+K43+K44+K45</f>
        <v>1.125</v>
      </c>
    </row>
    <row r="43" spans="1:19" s="2" customFormat="1" x14ac:dyDescent="0.25">
      <c r="A43" s="66"/>
      <c r="B43" s="8" t="s">
        <v>46</v>
      </c>
      <c r="C43" s="5">
        <v>0.3</v>
      </c>
      <c r="D43" s="5">
        <v>1.5</v>
      </c>
      <c r="E43" s="8">
        <v>0.3</v>
      </c>
      <c r="F43" s="8">
        <v>1</v>
      </c>
      <c r="G43" s="6"/>
      <c r="H43" s="6"/>
      <c r="J43" s="6"/>
      <c r="K43" s="5">
        <f>C43*D43*E43*F43</f>
        <v>0.13499999999999998</v>
      </c>
      <c r="L43" s="69"/>
    </row>
    <row r="44" spans="1:19" s="2" customFormat="1" x14ac:dyDescent="0.25">
      <c r="A44" s="66"/>
      <c r="B44" s="8" t="s">
        <v>47</v>
      </c>
      <c r="C44" s="5">
        <v>0.3</v>
      </c>
      <c r="D44" s="5">
        <v>1.5</v>
      </c>
      <c r="E44" s="8">
        <v>0.45</v>
      </c>
      <c r="F44" s="8">
        <v>1</v>
      </c>
      <c r="G44" s="6"/>
      <c r="H44" s="6"/>
      <c r="J44" s="6"/>
      <c r="K44" s="5">
        <f>C44*D44*E44*F44</f>
        <v>0.20249999999999999</v>
      </c>
      <c r="L44" s="69"/>
    </row>
    <row r="45" spans="1:19" s="2" customFormat="1" x14ac:dyDescent="0.25">
      <c r="A45" s="67"/>
      <c r="B45" s="8" t="s">
        <v>48</v>
      </c>
      <c r="C45" s="5">
        <v>0.8</v>
      </c>
      <c r="D45" s="5">
        <v>1.5</v>
      </c>
      <c r="E45" s="8">
        <v>0.6</v>
      </c>
      <c r="F45" s="8">
        <v>1</v>
      </c>
      <c r="G45" s="6"/>
      <c r="H45" s="6"/>
      <c r="J45" s="6"/>
      <c r="K45" s="5">
        <f>C45*D45*E45*F45</f>
        <v>0.72000000000000008</v>
      </c>
      <c r="L45" s="70"/>
    </row>
    <row r="46" spans="1:19" s="2" customFormat="1" x14ac:dyDescent="0.25">
      <c r="A46" s="6"/>
      <c r="B46" s="6"/>
      <c r="C46" s="6"/>
      <c r="D46" s="6"/>
      <c r="E46" s="6"/>
      <c r="F46" s="6"/>
      <c r="G46" s="6"/>
      <c r="H46" s="6"/>
      <c r="J46" s="6"/>
      <c r="K46" s="6"/>
    </row>
    <row r="47" spans="1:19" s="2" customFormat="1" x14ac:dyDescent="0.25">
      <c r="A47" s="6"/>
      <c r="B47" s="6"/>
      <c r="C47" s="6"/>
      <c r="D47" s="6"/>
      <c r="E47" s="6"/>
      <c r="F47" s="6"/>
      <c r="G47" s="6"/>
      <c r="H47" s="6"/>
      <c r="J47" s="6"/>
      <c r="K47" s="6"/>
    </row>
    <row r="48" spans="1:19" s="13" customFormat="1" x14ac:dyDescent="0.25">
      <c r="A48" s="74" t="s">
        <v>49</v>
      </c>
      <c r="B48" s="74"/>
      <c r="C48" s="29" t="s">
        <v>2</v>
      </c>
      <c r="D48" s="29" t="s">
        <v>3</v>
      </c>
      <c r="E48" s="29" t="s">
        <v>4</v>
      </c>
      <c r="F48" s="29" t="s">
        <v>5</v>
      </c>
      <c r="G48" s="12"/>
      <c r="H48" s="74" t="s">
        <v>6</v>
      </c>
      <c r="I48" s="74"/>
      <c r="J48" s="12"/>
      <c r="K48" s="74" t="s">
        <v>7</v>
      </c>
      <c r="L48" s="74"/>
      <c r="N48" s="2"/>
    </row>
    <row r="49" spans="1:20" s="2" customFormat="1" x14ac:dyDescent="0.25">
      <c r="A49" s="6"/>
      <c r="B49" s="6"/>
      <c r="C49" s="6"/>
      <c r="D49" s="6"/>
      <c r="E49" s="6"/>
      <c r="F49" s="6"/>
      <c r="G49" s="6"/>
      <c r="H49" s="6"/>
      <c r="J49" s="6"/>
      <c r="K49" s="6"/>
    </row>
    <row r="50" spans="1:20" s="2" customFormat="1" x14ac:dyDescent="0.25">
      <c r="A50" s="65" t="s">
        <v>8</v>
      </c>
      <c r="B50" s="8" t="s">
        <v>50</v>
      </c>
      <c r="C50" s="8">
        <f>0.2+0.5+0.2</f>
        <v>0.89999999999999991</v>
      </c>
      <c r="D50" s="8">
        <f>0.2+2+0.2</f>
        <v>2.4000000000000004</v>
      </c>
      <c r="E50" s="8">
        <v>0.55000000000000004</v>
      </c>
      <c r="F50" s="8">
        <v>2</v>
      </c>
      <c r="G50" s="6"/>
      <c r="H50" s="6"/>
      <c r="I50" s="9"/>
      <c r="J50" s="6"/>
      <c r="K50" s="5">
        <f>C50*D50*E50*F50</f>
        <v>2.3760000000000003</v>
      </c>
      <c r="L50" s="64">
        <f>K50+K51</f>
        <v>3.7620000000000005</v>
      </c>
    </row>
    <row r="51" spans="1:20" s="2" customFormat="1" x14ac:dyDescent="0.25">
      <c r="A51" s="67"/>
      <c r="B51" s="8" t="s">
        <v>51</v>
      </c>
      <c r="C51" s="8">
        <f>0.2+0.5+0.2</f>
        <v>0.89999999999999991</v>
      </c>
      <c r="D51" s="8">
        <f>0.2+1+0.2</f>
        <v>1.4</v>
      </c>
      <c r="E51" s="8">
        <v>0.55000000000000004</v>
      </c>
      <c r="F51" s="8">
        <v>2</v>
      </c>
      <c r="G51" s="6"/>
      <c r="H51" s="6"/>
      <c r="I51" s="9"/>
      <c r="J51" s="6"/>
      <c r="K51" s="5">
        <f>C51*D51*E51*F51</f>
        <v>1.3859999999999999</v>
      </c>
      <c r="L51" s="64"/>
    </row>
    <row r="52" spans="1:20" s="2" customFormat="1" x14ac:dyDescent="0.25">
      <c r="A52" s="65" t="s">
        <v>11</v>
      </c>
      <c r="B52" s="8" t="s">
        <v>50</v>
      </c>
      <c r="C52" s="8">
        <f>0.2+0.5+0.2</f>
        <v>0.89999999999999991</v>
      </c>
      <c r="D52" s="8">
        <f>0.2+2+0.2</f>
        <v>2.4000000000000004</v>
      </c>
      <c r="E52" s="8"/>
      <c r="F52" s="8">
        <v>2</v>
      </c>
      <c r="G52" s="6"/>
      <c r="H52" s="5">
        <f>C52*D52*F52</f>
        <v>4.32</v>
      </c>
      <c r="I52" s="68">
        <f>H52+H53</f>
        <v>6.84</v>
      </c>
      <c r="J52" s="6"/>
      <c r="K52" s="15"/>
      <c r="L52" s="16"/>
    </row>
    <row r="53" spans="1:20" s="2" customFormat="1" x14ac:dyDescent="0.25">
      <c r="A53" s="67"/>
      <c r="B53" s="8" t="s">
        <v>51</v>
      </c>
      <c r="C53" s="8">
        <f>0.2+0.5+0.2</f>
        <v>0.89999999999999991</v>
      </c>
      <c r="D53" s="8">
        <f>0.2+1+0.2</f>
        <v>1.4</v>
      </c>
      <c r="E53" s="8"/>
      <c r="F53" s="8">
        <v>2</v>
      </c>
      <c r="G53" s="6"/>
      <c r="H53" s="5">
        <f>C53*D53*F53</f>
        <v>2.5199999999999996</v>
      </c>
      <c r="I53" s="70"/>
      <c r="J53" s="6"/>
      <c r="K53" s="15"/>
      <c r="L53" s="16"/>
    </row>
    <row r="54" spans="1:20" s="2" customFormat="1" x14ac:dyDescent="0.25">
      <c r="A54" s="6"/>
      <c r="B54" s="6"/>
      <c r="C54" s="6"/>
      <c r="D54" s="6"/>
      <c r="E54" s="6"/>
      <c r="F54" s="6"/>
      <c r="G54" s="6"/>
      <c r="H54" s="6"/>
      <c r="J54" s="6"/>
      <c r="K54" s="6"/>
    </row>
    <row r="55" spans="1:20" s="2" customFormat="1" ht="30" x14ac:dyDescent="0.25">
      <c r="A55" s="27" t="s">
        <v>12</v>
      </c>
      <c r="B55" s="7">
        <f>(C61*D61*0.5*F61)+(C62*D62*F62)</f>
        <v>2</v>
      </c>
      <c r="C55" s="8"/>
      <c r="D55" s="8"/>
      <c r="E55" s="8"/>
      <c r="F55" s="8"/>
      <c r="G55" s="6"/>
      <c r="H55" s="6"/>
      <c r="I55" s="9"/>
      <c r="J55" s="6"/>
      <c r="K55" s="5"/>
      <c r="L55" s="28">
        <f>L50-B55</f>
        <v>1.7620000000000005</v>
      </c>
      <c r="M55" s="10"/>
    </row>
    <row r="56" spans="1:20" s="2" customFormat="1" x14ac:dyDescent="0.25">
      <c r="A56" s="32"/>
      <c r="B56" s="14"/>
      <c r="C56" s="6"/>
      <c r="D56" s="6"/>
      <c r="E56" s="6"/>
      <c r="F56" s="6"/>
      <c r="G56" s="6"/>
      <c r="H56" s="6"/>
      <c r="I56" s="9"/>
      <c r="J56" s="6"/>
      <c r="K56" s="15"/>
      <c r="L56" s="33"/>
      <c r="M56" s="10"/>
      <c r="O56" s="34" t="s">
        <v>13</v>
      </c>
    </row>
    <row r="57" spans="1:20" s="2" customFormat="1" x14ac:dyDescent="0.25">
      <c r="A57" s="6"/>
      <c r="B57" s="6"/>
      <c r="C57" s="6"/>
      <c r="D57" s="6"/>
      <c r="E57" s="6"/>
      <c r="F57" s="6"/>
      <c r="G57" s="6"/>
      <c r="H57" s="6"/>
      <c r="J57" s="6"/>
      <c r="K57" s="15"/>
      <c r="L57" s="10"/>
      <c r="O57" s="2" t="s">
        <v>15</v>
      </c>
      <c r="P57" s="38" t="s">
        <v>16</v>
      </c>
      <c r="Q57" s="20" t="s">
        <v>17</v>
      </c>
      <c r="R57" s="38" t="s">
        <v>18</v>
      </c>
      <c r="S57" s="38" t="s">
        <v>19</v>
      </c>
    </row>
    <row r="58" spans="1:20" s="2" customFormat="1" x14ac:dyDescent="0.25">
      <c r="A58" s="37" t="s">
        <v>14</v>
      </c>
      <c r="B58" s="8" t="s">
        <v>52</v>
      </c>
      <c r="C58" s="5">
        <v>0.5</v>
      </c>
      <c r="D58" s="5">
        <v>2</v>
      </c>
      <c r="E58" s="8">
        <v>0.05</v>
      </c>
      <c r="F58" s="8">
        <v>2</v>
      </c>
      <c r="G58" s="6"/>
      <c r="H58" s="6"/>
      <c r="I58" s="11"/>
      <c r="J58" s="6"/>
      <c r="K58" s="5">
        <f>C58*D58*E58*F58</f>
        <v>0.1</v>
      </c>
      <c r="L58" s="28">
        <f>K58</f>
        <v>0.1</v>
      </c>
      <c r="O58" s="14">
        <f>(1/10*1.52)*L58</f>
        <v>1.5200000000000003E-2</v>
      </c>
      <c r="P58" s="36">
        <f>O58/0.035</f>
        <v>0.43428571428571433</v>
      </c>
      <c r="Q58" s="25">
        <f>P58*50</f>
        <v>21.714285714285715</v>
      </c>
      <c r="R58" s="36">
        <f>(3/10*1.52)*L58</f>
        <v>4.5600000000000002E-2</v>
      </c>
      <c r="S58" s="36">
        <f>(6/10*1.52)*L58</f>
        <v>9.1200000000000003E-2</v>
      </c>
    </row>
    <row r="59" spans="1:20" s="2" customFormat="1" x14ac:dyDescent="0.25">
      <c r="A59" s="32"/>
      <c r="B59" s="6"/>
      <c r="C59" s="15"/>
      <c r="D59" s="15"/>
      <c r="E59" s="6"/>
      <c r="F59" s="6"/>
      <c r="G59" s="6"/>
      <c r="H59" s="6"/>
      <c r="I59" s="11"/>
      <c r="J59" s="6"/>
      <c r="K59" s="15"/>
      <c r="L59" s="33"/>
      <c r="O59" s="14"/>
      <c r="P59" s="42"/>
      <c r="Q59" s="25"/>
      <c r="R59" s="42"/>
      <c r="S59" s="42"/>
    </row>
    <row r="60" spans="1:20" s="2" customFormat="1" x14ac:dyDescent="0.25">
      <c r="A60" s="6"/>
      <c r="B60" s="6"/>
      <c r="C60" s="6"/>
      <c r="D60" s="6"/>
      <c r="E60" s="6"/>
      <c r="F60" s="6"/>
      <c r="G60" s="6"/>
      <c r="H60" s="6"/>
      <c r="J60" s="6"/>
      <c r="K60" s="15"/>
      <c r="L60" s="10"/>
      <c r="N60"/>
      <c r="O60" s="39" t="s">
        <v>20</v>
      </c>
      <c r="P60"/>
      <c r="Q60"/>
      <c r="R60"/>
    </row>
    <row r="61" spans="1:20" s="2" customFormat="1" x14ac:dyDescent="0.25">
      <c r="A61" s="71" t="s">
        <v>21</v>
      </c>
      <c r="B61" s="8" t="s">
        <v>50</v>
      </c>
      <c r="C61" s="5">
        <v>0.5</v>
      </c>
      <c r="D61" s="5">
        <v>2</v>
      </c>
      <c r="E61" s="8">
        <f>0.5+1</f>
        <v>1.5</v>
      </c>
      <c r="F61" s="8">
        <v>2</v>
      </c>
      <c r="G61" s="6"/>
      <c r="H61" s="6"/>
      <c r="I61" s="9"/>
      <c r="J61" s="6"/>
      <c r="K61" s="5">
        <f>C61*D61*E61*F61</f>
        <v>3</v>
      </c>
      <c r="L61" s="73">
        <f>K61+K62</f>
        <v>4.5</v>
      </c>
      <c r="M61" s="22"/>
      <c r="N61"/>
      <c r="O61" s="2" t="s">
        <v>15</v>
      </c>
      <c r="P61" s="43" t="s">
        <v>16</v>
      </c>
      <c r="Q61" s="20" t="s">
        <v>17</v>
      </c>
      <c r="R61" s="43" t="s">
        <v>18</v>
      </c>
    </row>
    <row r="62" spans="1:20" s="2" customFormat="1" x14ac:dyDescent="0.25">
      <c r="A62" s="72"/>
      <c r="B62" s="8" t="s">
        <v>51</v>
      </c>
      <c r="C62" s="5">
        <v>0.5</v>
      </c>
      <c r="D62" s="5">
        <v>1</v>
      </c>
      <c r="E62" s="8">
        <f>0.5+1</f>
        <v>1.5</v>
      </c>
      <c r="F62" s="8">
        <v>2</v>
      </c>
      <c r="G62" s="6"/>
      <c r="H62" s="14"/>
      <c r="I62" s="9"/>
      <c r="J62" s="6"/>
      <c r="K62" s="5">
        <f>C62*D62*E62*F62</f>
        <v>1.5</v>
      </c>
      <c r="L62" s="73"/>
      <c r="M62" s="22"/>
      <c r="N62" s="40">
        <f>L61</f>
        <v>4.5</v>
      </c>
      <c r="O62" s="14">
        <f>0.35*(1/7*1.33)*N62</f>
        <v>0.29924999999999996</v>
      </c>
      <c r="P62" s="44">
        <f>O62/0.035</f>
        <v>8.5499999999999989</v>
      </c>
      <c r="Q62" s="25">
        <f>P62*50</f>
        <v>427.49999999999994</v>
      </c>
      <c r="R62" s="44">
        <f>0.35*(6/7*1.33)*N62</f>
        <v>1.7954999999999999</v>
      </c>
    </row>
    <row r="63" spans="1:20" s="2" customFormat="1" x14ac:dyDescent="0.25">
      <c r="A63" s="6"/>
      <c r="B63" s="6"/>
      <c r="C63" s="6"/>
      <c r="D63" s="6"/>
      <c r="E63" s="6"/>
      <c r="F63" s="6"/>
      <c r="G63" s="6"/>
      <c r="H63" s="6"/>
      <c r="J63" s="6"/>
      <c r="K63" s="15"/>
      <c r="L63" s="10"/>
    </row>
    <row r="64" spans="1:20" s="2" customFormat="1" x14ac:dyDescent="0.25">
      <c r="A64" s="63" t="s">
        <v>23</v>
      </c>
      <c r="B64" s="8" t="s">
        <v>50</v>
      </c>
      <c r="C64" s="7">
        <v>0.35</v>
      </c>
      <c r="D64" s="5">
        <v>2</v>
      </c>
      <c r="E64" s="7">
        <v>2.2000000000000002</v>
      </c>
      <c r="F64" s="8">
        <v>2</v>
      </c>
      <c r="G64" s="6"/>
      <c r="H64" s="6"/>
      <c r="I64" s="9"/>
      <c r="J64" s="6"/>
      <c r="K64" s="5">
        <f>C64*D64*E64*F64</f>
        <v>3.08</v>
      </c>
      <c r="L64" s="64">
        <f>K64+K65-K66</f>
        <v>4.55</v>
      </c>
      <c r="M64" s="22"/>
      <c r="Q64" s="39" t="s">
        <v>22</v>
      </c>
      <c r="R64"/>
      <c r="S64"/>
      <c r="T64"/>
    </row>
    <row r="65" spans="1:20" s="2" customFormat="1" x14ac:dyDescent="0.25">
      <c r="A65" s="63"/>
      <c r="B65" s="8" t="s">
        <v>51</v>
      </c>
      <c r="C65" s="7">
        <v>0.35</v>
      </c>
      <c r="D65" s="5">
        <v>1.3</v>
      </c>
      <c r="E65" s="7">
        <v>2.2000000000000002</v>
      </c>
      <c r="F65" s="8">
        <v>2</v>
      </c>
      <c r="G65" s="6"/>
      <c r="H65" s="14"/>
      <c r="I65" s="9"/>
      <c r="J65" s="6"/>
      <c r="K65" s="5">
        <f>C65*D65*E65*F65</f>
        <v>2.0019999999999998</v>
      </c>
      <c r="L65" s="64"/>
      <c r="M65" s="22"/>
      <c r="O65" s="2" t="s">
        <v>24</v>
      </c>
      <c r="P65" s="30" t="s">
        <v>25</v>
      </c>
      <c r="Q65" s="2" t="s">
        <v>15</v>
      </c>
      <c r="R65" s="30" t="s">
        <v>16</v>
      </c>
      <c r="S65" s="20" t="s">
        <v>17</v>
      </c>
      <c r="T65" s="30" t="s">
        <v>18</v>
      </c>
    </row>
    <row r="66" spans="1:20" s="2" customFormat="1" x14ac:dyDescent="0.25">
      <c r="A66" s="63"/>
      <c r="B66" s="8" t="s">
        <v>53</v>
      </c>
      <c r="C66" s="7">
        <v>0.35</v>
      </c>
      <c r="D66" s="5">
        <v>0.8</v>
      </c>
      <c r="E66" s="5">
        <v>1.9</v>
      </c>
      <c r="F66" s="8">
        <v>1</v>
      </c>
      <c r="G66" s="6"/>
      <c r="H66" s="14"/>
      <c r="I66" s="9"/>
      <c r="J66" s="6"/>
      <c r="K66" s="5">
        <f>C66*D66*E66*F66</f>
        <v>0.53199999999999992</v>
      </c>
      <c r="L66" s="64"/>
      <c r="M66" s="22"/>
      <c r="O66" s="24">
        <f>(0.22+0.02)*(0.11+0.02)*(0.06+0.02)</f>
        <v>2.496E-3</v>
      </c>
      <c r="P66" s="31">
        <f>L64/O66</f>
        <v>1822.9166666666665</v>
      </c>
      <c r="Q66" s="14">
        <f>0.175*(1/7*1.33)*L64</f>
        <v>0.15128749999999996</v>
      </c>
      <c r="R66" s="41">
        <f>Q66/0.035</f>
        <v>4.3224999999999989</v>
      </c>
      <c r="S66" s="25">
        <f>R66*50</f>
        <v>216.12499999999994</v>
      </c>
      <c r="T66" s="41">
        <f>0.175*(6/7*1.33)*L64</f>
        <v>0.90772499999999989</v>
      </c>
    </row>
    <row r="67" spans="1:20" s="2" customFormat="1" x14ac:dyDescent="0.25">
      <c r="A67" s="6"/>
      <c r="B67" s="6"/>
      <c r="C67" s="6"/>
      <c r="D67" s="6"/>
      <c r="E67" s="6"/>
      <c r="F67" s="6"/>
      <c r="G67" s="6"/>
      <c r="H67" s="6"/>
      <c r="J67" s="6"/>
      <c r="K67" s="6"/>
    </row>
    <row r="68" spans="1:20" s="2" customFormat="1" x14ac:dyDescent="0.25">
      <c r="J68" s="6"/>
      <c r="K68" s="6"/>
    </row>
    <row r="69" spans="1:20" s="2" customFormat="1" x14ac:dyDescent="0.25">
      <c r="A69" s="32"/>
      <c r="B69" s="14"/>
      <c r="C69" s="6"/>
      <c r="D69" s="6"/>
      <c r="E69" s="6"/>
      <c r="F69" s="6"/>
      <c r="G69" s="6"/>
      <c r="H69" s="6"/>
      <c r="I69" s="9"/>
      <c r="J69" s="6"/>
      <c r="K69" s="15"/>
      <c r="L69" s="33"/>
      <c r="M69" s="10"/>
      <c r="O69" s="34" t="s">
        <v>13</v>
      </c>
    </row>
    <row r="70" spans="1:20" s="2" customFormat="1" x14ac:dyDescent="0.25">
      <c r="A70" s="27" t="s">
        <v>38</v>
      </c>
      <c r="B70" s="8"/>
      <c r="C70" s="5">
        <v>2</v>
      </c>
      <c r="D70" s="5">
        <v>2</v>
      </c>
      <c r="E70" s="8"/>
      <c r="F70" s="8">
        <v>1</v>
      </c>
      <c r="G70" s="6"/>
      <c r="H70" s="5">
        <f>C70*D70*F70</f>
        <v>4</v>
      </c>
      <c r="I70" s="28">
        <f>H70</f>
        <v>4</v>
      </c>
      <c r="J70" s="6"/>
      <c r="K70" s="15"/>
      <c r="L70" s="10"/>
      <c r="O70" s="2" t="s">
        <v>15</v>
      </c>
      <c r="P70" s="38" t="s">
        <v>16</v>
      </c>
      <c r="Q70" s="20" t="s">
        <v>17</v>
      </c>
      <c r="R70" s="38" t="s">
        <v>18</v>
      </c>
      <c r="S70" s="38" t="s">
        <v>19</v>
      </c>
    </row>
    <row r="71" spans="1:20" s="2" customFormat="1" x14ac:dyDescent="0.25">
      <c r="A71" s="37" t="s">
        <v>39</v>
      </c>
      <c r="B71" s="8"/>
      <c r="C71" s="5">
        <v>2</v>
      </c>
      <c r="D71" s="5">
        <v>2</v>
      </c>
      <c r="E71" s="8">
        <v>0.05</v>
      </c>
      <c r="F71" s="8">
        <v>1</v>
      </c>
      <c r="G71" s="6"/>
      <c r="H71" s="6"/>
      <c r="I71" s="11"/>
      <c r="J71" s="6"/>
      <c r="K71" s="5">
        <f>C71*D71*E71*F71</f>
        <v>0.2</v>
      </c>
      <c r="L71" s="28">
        <f>K71</f>
        <v>0.2</v>
      </c>
      <c r="O71" s="14">
        <f>(1/10*1.52)*L71</f>
        <v>3.0400000000000007E-2</v>
      </c>
      <c r="P71" s="36">
        <f>O71/0.035</f>
        <v>0.86857142857142866</v>
      </c>
      <c r="Q71" s="25">
        <f>P71*50</f>
        <v>43.428571428571431</v>
      </c>
      <c r="R71" s="36">
        <f>(3/10*1.52)*L71</f>
        <v>9.1200000000000003E-2</v>
      </c>
      <c r="S71" s="36">
        <f>(6/10*1.52)*L71</f>
        <v>0.18240000000000001</v>
      </c>
    </row>
    <row r="72" spans="1:20" s="2" customFormat="1" x14ac:dyDescent="0.25">
      <c r="A72" s="32"/>
      <c r="B72" s="6"/>
      <c r="C72" s="15"/>
      <c r="D72" s="15"/>
      <c r="E72" s="6"/>
      <c r="F72" s="6"/>
      <c r="G72" s="6"/>
      <c r="H72" s="6"/>
      <c r="I72" s="11"/>
      <c r="J72" s="6"/>
      <c r="K72" s="15"/>
      <c r="L72" s="33"/>
    </row>
    <row r="73" spans="1:20" s="2" customFormat="1" x14ac:dyDescent="0.25">
      <c r="A73" s="6"/>
      <c r="B73" s="6"/>
      <c r="C73" s="6"/>
      <c r="D73" s="6"/>
      <c r="E73" s="6"/>
      <c r="F73" s="6"/>
      <c r="G73" s="6"/>
      <c r="H73" s="6"/>
      <c r="J73" s="6"/>
      <c r="K73" s="6"/>
    </row>
    <row r="74" spans="1:20" s="2" customFormat="1" x14ac:dyDescent="0.25">
      <c r="A74" s="27" t="s">
        <v>54</v>
      </c>
      <c r="B74" s="8"/>
      <c r="C74" s="5">
        <v>1.2</v>
      </c>
      <c r="D74" s="5">
        <v>1.2</v>
      </c>
      <c r="E74" s="8">
        <v>0.05</v>
      </c>
      <c r="F74" s="8">
        <v>1</v>
      </c>
      <c r="G74" s="6"/>
      <c r="H74" s="6"/>
      <c r="I74" s="11"/>
      <c r="J74" s="6"/>
      <c r="K74" s="5">
        <f>C74*D74*E74*F74</f>
        <v>7.1999999999999995E-2</v>
      </c>
      <c r="L74" s="23">
        <f>K74</f>
        <v>7.1999999999999995E-2</v>
      </c>
    </row>
    <row r="75" spans="1:20" s="2" customFormat="1" x14ac:dyDescent="0.25">
      <c r="A75" s="27" t="s">
        <v>55</v>
      </c>
      <c r="B75" s="8" t="s">
        <v>56</v>
      </c>
      <c r="C75" s="7">
        <v>0.66</v>
      </c>
      <c r="D75" s="7">
        <v>0.66</v>
      </c>
      <c r="E75" s="8">
        <v>0.1</v>
      </c>
      <c r="F75" s="8">
        <v>1</v>
      </c>
      <c r="G75" s="6"/>
      <c r="H75" s="6"/>
      <c r="I75" s="11"/>
      <c r="J75" s="6"/>
      <c r="K75" s="7">
        <f>C75*D75*E75*F75</f>
        <v>4.3560000000000008E-2</v>
      </c>
      <c r="L75" s="23">
        <f>K75</f>
        <v>4.3560000000000008E-2</v>
      </c>
    </row>
    <row r="76" spans="1:20" s="2" customFormat="1" x14ac:dyDescent="0.25">
      <c r="A76" s="6"/>
      <c r="B76" s="6"/>
      <c r="C76" s="6"/>
      <c r="D76" s="6"/>
      <c r="E76" s="6"/>
      <c r="F76" s="6"/>
      <c r="G76" s="6"/>
      <c r="H76" s="6"/>
      <c r="J76" s="6"/>
      <c r="K76" s="6"/>
    </row>
    <row r="77" spans="1:20" s="2" customFormat="1" x14ac:dyDescent="0.25">
      <c r="A77" s="65" t="s">
        <v>44</v>
      </c>
      <c r="B77" s="8" t="s">
        <v>45</v>
      </c>
      <c r="C77" s="5">
        <v>0.3</v>
      </c>
      <c r="D77" s="5">
        <v>0.8</v>
      </c>
      <c r="E77" s="8">
        <v>0.2</v>
      </c>
      <c r="F77" s="8">
        <v>1</v>
      </c>
      <c r="G77" s="6"/>
      <c r="H77" s="6"/>
      <c r="J77" s="6"/>
      <c r="K77" s="5">
        <f>C77*D77*E77*F77</f>
        <v>4.8000000000000001E-2</v>
      </c>
      <c r="L77" s="68">
        <f>K77+K78+K79+K80</f>
        <v>0.80000000000000016</v>
      </c>
    </row>
    <row r="78" spans="1:20" s="2" customFormat="1" x14ac:dyDescent="0.25">
      <c r="A78" s="66"/>
      <c r="B78" s="8" t="s">
        <v>46</v>
      </c>
      <c r="C78" s="5">
        <v>0.3</v>
      </c>
      <c r="D78" s="5">
        <v>0.8</v>
      </c>
      <c r="E78" s="8">
        <v>0.4</v>
      </c>
      <c r="F78" s="8">
        <v>1</v>
      </c>
      <c r="G78" s="6"/>
      <c r="H78" s="6"/>
      <c r="J78" s="6"/>
      <c r="K78" s="5">
        <f>C78*D78*E78*F78</f>
        <v>9.6000000000000002E-2</v>
      </c>
      <c r="L78" s="69"/>
    </row>
    <row r="79" spans="1:20" s="2" customFormat="1" x14ac:dyDescent="0.25">
      <c r="A79" s="66"/>
      <c r="B79" s="8" t="s">
        <v>47</v>
      </c>
      <c r="C79" s="5">
        <v>0.3</v>
      </c>
      <c r="D79" s="5">
        <v>0.8</v>
      </c>
      <c r="E79" s="8">
        <v>0.6</v>
      </c>
      <c r="F79" s="8">
        <v>1</v>
      </c>
      <c r="G79" s="6"/>
      <c r="H79" s="6"/>
      <c r="J79" s="6"/>
      <c r="K79" s="5">
        <f>C79*D79*E79*F79</f>
        <v>0.14399999999999999</v>
      </c>
      <c r="L79" s="69"/>
    </row>
    <row r="80" spans="1:20" s="2" customFormat="1" x14ac:dyDescent="0.25">
      <c r="A80" s="67"/>
      <c r="B80" s="8" t="s">
        <v>48</v>
      </c>
      <c r="C80" s="5">
        <v>0.8</v>
      </c>
      <c r="D80" s="5">
        <v>0.8</v>
      </c>
      <c r="E80" s="8">
        <v>0.8</v>
      </c>
      <c r="F80" s="8">
        <v>1</v>
      </c>
      <c r="G80" s="6"/>
      <c r="H80" s="6"/>
      <c r="J80" s="6"/>
      <c r="K80" s="5">
        <f>C80*D80*E80*F80</f>
        <v>0.51200000000000012</v>
      </c>
      <c r="L80" s="70"/>
    </row>
    <row r="81" spans="1:11" s="2" customFormat="1" x14ac:dyDescent="0.25">
      <c r="A81" s="6"/>
      <c r="B81" s="6"/>
      <c r="C81" s="6"/>
      <c r="D81" s="6"/>
      <c r="E81" s="6"/>
      <c r="F81" s="6"/>
      <c r="G81" s="6"/>
      <c r="H81" s="6"/>
      <c r="J81" s="6"/>
      <c r="K81" s="6"/>
    </row>
    <row r="82" spans="1:11" s="2" customFormat="1" x14ac:dyDescent="0.25">
      <c r="A82" s="6"/>
      <c r="B82" s="6"/>
      <c r="C82" s="6"/>
      <c r="D82" s="6"/>
      <c r="E82" s="6"/>
      <c r="F82" s="6"/>
      <c r="G82" s="6"/>
      <c r="H82" s="6"/>
      <c r="J82" s="6"/>
      <c r="K82" s="6"/>
    </row>
    <row r="83" spans="1:11" s="2" customFormat="1" x14ac:dyDescent="0.25">
      <c r="A83" s="6"/>
      <c r="B83" s="6"/>
      <c r="C83" s="6"/>
      <c r="D83" s="6"/>
      <c r="E83" s="6"/>
      <c r="F83" s="6"/>
      <c r="G83" s="6"/>
      <c r="H83" s="6"/>
      <c r="J83" s="6"/>
      <c r="K83" s="6"/>
    </row>
    <row r="84" spans="1:11" s="2" customFormat="1" x14ac:dyDescent="0.25">
      <c r="A84" s="6"/>
      <c r="B84" s="6"/>
      <c r="C84" s="6"/>
      <c r="D84" s="6"/>
      <c r="E84" s="6"/>
      <c r="F84" s="6"/>
      <c r="G84" s="6"/>
      <c r="H84" s="6"/>
      <c r="J84" s="6"/>
      <c r="K84" s="6"/>
    </row>
  </sheetData>
  <mergeCells count="30">
    <mergeCell ref="A6:A7"/>
    <mergeCell ref="I6:I7"/>
    <mergeCell ref="A2:B2"/>
    <mergeCell ref="H2:I2"/>
    <mergeCell ref="K2:L2"/>
    <mergeCell ref="A4:A5"/>
    <mergeCell ref="L4:L5"/>
    <mergeCell ref="A11:A12"/>
    <mergeCell ref="L11:L12"/>
    <mergeCell ref="A15:A16"/>
    <mergeCell ref="L15:L16"/>
    <mergeCell ref="A19:A25"/>
    <mergeCell ref="L19:L25"/>
    <mergeCell ref="A29:A32"/>
    <mergeCell ref="I29:I32"/>
    <mergeCell ref="A42:A45"/>
    <mergeCell ref="L42:L45"/>
    <mergeCell ref="A48:B48"/>
    <mergeCell ref="H48:I48"/>
    <mergeCell ref="K48:L48"/>
    <mergeCell ref="A64:A66"/>
    <mergeCell ref="L64:L66"/>
    <mergeCell ref="A77:A80"/>
    <mergeCell ref="L77:L80"/>
    <mergeCell ref="A50:A51"/>
    <mergeCell ref="L50:L51"/>
    <mergeCell ref="A52:A53"/>
    <mergeCell ref="I52:I53"/>
    <mergeCell ref="A61:A62"/>
    <mergeCell ref="L61:L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97154FB6B93F42BF5E4B42766B9CA1" ma:contentTypeVersion="17" ma:contentTypeDescription="Create a new document." ma:contentTypeScope="" ma:versionID="956fdf44634306e30b5c0b8ec962a8ba">
  <xsd:schema xmlns:xsd="http://www.w3.org/2001/XMLSchema" xmlns:xs="http://www.w3.org/2001/XMLSchema" xmlns:p="http://schemas.microsoft.com/office/2006/metadata/properties" xmlns:ns2="e17ed4e5-84f5-4645-8e88-72d967b1c846" xmlns:ns3="2ad314f3-2745-4330-b0d8-d50ee7e7a8f3" targetNamespace="http://schemas.microsoft.com/office/2006/metadata/properties" ma:root="true" ma:fieldsID="6fad8c77dfffd4d19c566f24ea46e53e" ns2:_="" ns3:_="">
    <xsd:import namespace="e17ed4e5-84f5-4645-8e88-72d967b1c846"/>
    <xsd:import namespace="2ad314f3-2745-4330-b0d8-d50ee7e7a8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2:ContentDescrip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7ed4e5-84f5-4645-8e88-72d967b1c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ContentDescription" ma:index="18" nillable="true" ma:displayName="Content Description" ma:format="Dropdown" ma:internalName="ContentDescription">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ad314f3-2745-4330-b0d8-d50ee7e7a8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2995c715-8898-4be6-90af-b22abe6c6dd8}" ma:internalName="TaxCatchAll" ma:showField="CatchAllData" ma:web="2ad314f3-2745-4330-b0d8-d50ee7e7a8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entDescription xmlns="e17ed4e5-84f5-4645-8e88-72d967b1c846" xsi:nil="true"/>
    <lcf76f155ced4ddcb4097134ff3c332f xmlns="e17ed4e5-84f5-4645-8e88-72d967b1c846">
      <Terms xmlns="http://schemas.microsoft.com/office/infopath/2007/PartnerControls"/>
    </lcf76f155ced4ddcb4097134ff3c332f>
    <TaxCatchAll xmlns="2ad314f3-2745-4330-b0d8-d50ee7e7a8f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69CBE-0EAD-458C-9314-6EBF332967F7}">
  <ds:schemaRefs>
    <ds:schemaRef ds:uri="http://schemas.microsoft.com/office/2006/metadata/contentType"/>
    <ds:schemaRef ds:uri="http://schemas.microsoft.com/office/2006/metadata/properties/metaAttributes"/>
    <ds:schemaRef ds:uri="http://www.w3.org/2000/xmlns/"/>
    <ds:schemaRef ds:uri="http://www.w3.org/2001/XMLSchema"/>
    <ds:schemaRef ds:uri="e17ed4e5-84f5-4645-8e88-72d967b1c846"/>
    <ds:schemaRef ds:uri="2ad314f3-2745-4330-b0d8-d50ee7e7a8f3"/>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2CF54C-C0B9-4C6D-B8A6-231E20BC982A}">
  <ds:schemaRefs>
    <ds:schemaRef ds:uri="http://schemas.microsoft.com/office/infopath/2007/PartnerControls"/>
    <ds:schemaRef ds:uri="http://schemas.openxmlformats.org/package/2006/metadata/core-properties"/>
    <ds:schemaRef ds:uri="http://schemas.microsoft.com/office/2006/documentManagement/types"/>
    <ds:schemaRef ds:uri="2ad314f3-2745-4330-b0d8-d50ee7e7a8f3"/>
    <ds:schemaRef ds:uri="http://purl.org/dc/elements/1.1/"/>
    <ds:schemaRef ds:uri="e17ed4e5-84f5-4645-8e88-72d967b1c846"/>
    <ds:schemaRef ds:uri="http://schemas.microsoft.com/office/2006/metadata/properti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A3E2BE46-4029-4E43-B9F8-56ADEB5E3B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vt:lpstr>
      <vt:lpstr>Quantities_Reg</vt:lpstr>
      <vt:lpstr>Construction!Print_Area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JALIL ZIAEE</dc:creator>
  <cp:keywords/>
  <dc:description/>
  <cp:lastModifiedBy>Dell</cp:lastModifiedBy>
  <cp:revision/>
  <cp:lastPrinted>2024-05-26T10:33:33Z</cp:lastPrinted>
  <dcterms:created xsi:type="dcterms:W3CDTF">2020-08-19T05:09:01Z</dcterms:created>
  <dcterms:modified xsi:type="dcterms:W3CDTF">2024-05-26T10:33:42Z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0x010100FF97154FB6B93F42BF5E4B42766B9CA1</vt:lpwstr>
  </property>
  <property fmtid="{D5CDD505-2E9C-101B-9397-08002B2CF9AE}" pid="3" name="MediaServiceImageTags">
    <vt:lpwstr/>
  </property>
</Properties>
</file>