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pgrading plan for SEC and improving the workflow of asssisting POCS\"/>
    </mc:Choice>
  </mc:AlternateContent>
  <bookViews>
    <workbookView xWindow="0" yWindow="0" windowWidth="23040" windowHeight="10332"/>
  </bookViews>
  <sheets>
    <sheet name="SOJ_EC" sheetId="16" r:id="rId1"/>
    <sheet name="Quantities_Reg" sheetId="17"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6" l="1"/>
  <c r="F36" i="16" l="1"/>
  <c r="F35" i="16"/>
  <c r="F34" i="16"/>
  <c r="D25" i="16" l="1"/>
  <c r="F25" i="16" s="1"/>
  <c r="F18" i="16"/>
  <c r="D11" i="16"/>
  <c r="F11" i="16" s="1"/>
  <c r="F22" i="16"/>
  <c r="F7" i="16"/>
  <c r="F10" i="16"/>
  <c r="F9" i="16"/>
  <c r="F12" i="16"/>
  <c r="F29" i="16"/>
  <c r="F40" i="16" l="1"/>
  <c r="F24" i="16"/>
  <c r="F23" i="16" l="1"/>
  <c r="F19" i="16"/>
  <c r="F17" i="16"/>
  <c r="F16" i="16"/>
  <c r="F13" i="16"/>
  <c r="F21" i="16"/>
  <c r="F8" i="16"/>
  <c r="F6" i="16"/>
  <c r="F14" i="16" s="1"/>
  <c r="F20" i="16"/>
  <c r="F26" i="16" l="1"/>
  <c r="F39" i="16"/>
  <c r="F38" i="16"/>
  <c r="F37" i="16"/>
  <c r="F31" i="16"/>
  <c r="F33" i="16"/>
  <c r="F30" i="16" l="1"/>
  <c r="F28" i="16"/>
  <c r="F41" i="16" l="1"/>
  <c r="F43" i="16" s="1"/>
  <c r="K80" i="17"/>
  <c r="K79" i="17"/>
  <c r="K78" i="17"/>
  <c r="K77" i="17"/>
  <c r="K75" i="17"/>
  <c r="L75" i="17" s="1"/>
  <c r="K74" i="17"/>
  <c r="L74" i="17" s="1"/>
  <c r="K71" i="17"/>
  <c r="L71" i="17" s="1"/>
  <c r="H70" i="17"/>
  <c r="I70" i="17" s="1"/>
  <c r="O66" i="17"/>
  <c r="K66" i="17"/>
  <c r="K65" i="17"/>
  <c r="K64" i="17"/>
  <c r="L64" i="17" s="1"/>
  <c r="E62" i="17"/>
  <c r="K62" i="17" s="1"/>
  <c r="E61" i="17"/>
  <c r="K61" i="17" s="1"/>
  <c r="K58" i="17"/>
  <c r="L58" i="17" s="1"/>
  <c r="B55" i="17"/>
  <c r="D53" i="17"/>
  <c r="C53" i="17"/>
  <c r="D52" i="17"/>
  <c r="C52" i="17"/>
  <c r="D51" i="17"/>
  <c r="C51" i="17"/>
  <c r="K51" i="17" s="1"/>
  <c r="D50" i="17"/>
  <c r="C50" i="17"/>
  <c r="K50" i="17" s="1"/>
  <c r="K45" i="17"/>
  <c r="K44" i="17"/>
  <c r="K43" i="17"/>
  <c r="K42" i="17"/>
  <c r="K40" i="17"/>
  <c r="L40" i="17" s="1"/>
  <c r="K39" i="17"/>
  <c r="L39" i="17" s="1"/>
  <c r="K38" i="17"/>
  <c r="L38" i="17" s="1"/>
  <c r="D37" i="17"/>
  <c r="H37" i="17" s="1"/>
  <c r="I37" i="17" s="1"/>
  <c r="K35" i="17"/>
  <c r="L35" i="17" s="1"/>
  <c r="H34" i="17"/>
  <c r="I34" i="17" s="1"/>
  <c r="D32" i="17"/>
  <c r="H32" i="17" s="1"/>
  <c r="D31" i="17"/>
  <c r="H31" i="17" s="1"/>
  <c r="D30" i="17"/>
  <c r="H30" i="17" s="1"/>
  <c r="D29" i="17"/>
  <c r="H29" i="17" s="1"/>
  <c r="E27" i="17"/>
  <c r="D27" i="17"/>
  <c r="H27" i="17" s="1"/>
  <c r="I27" i="17" s="1"/>
  <c r="C25" i="17"/>
  <c r="K25" i="17" s="1"/>
  <c r="C24" i="17"/>
  <c r="K24" i="17" s="1"/>
  <c r="C23" i="17"/>
  <c r="K23" i="17" s="1"/>
  <c r="C22" i="17"/>
  <c r="K22" i="17" s="1"/>
  <c r="D21" i="17"/>
  <c r="C21" i="17"/>
  <c r="O20" i="17"/>
  <c r="E20" i="17"/>
  <c r="C20" i="17"/>
  <c r="E19" i="17"/>
  <c r="C19" i="17"/>
  <c r="E16" i="17"/>
  <c r="K16" i="17" s="1"/>
  <c r="E15" i="17"/>
  <c r="K15" i="17" s="1"/>
  <c r="C12" i="17"/>
  <c r="K12" i="17" s="1"/>
  <c r="D11" i="17"/>
  <c r="C11" i="17"/>
  <c r="B9" i="17"/>
  <c r="D7" i="17"/>
  <c r="C7" i="17"/>
  <c r="H7" i="17" s="1"/>
  <c r="D6" i="17"/>
  <c r="C6" i="17"/>
  <c r="H6" i="17" s="1"/>
  <c r="I6" i="17" s="1"/>
  <c r="D5" i="17"/>
  <c r="C5" i="17"/>
  <c r="D4" i="17"/>
  <c r="C4" i="17"/>
  <c r="K19" i="17" l="1"/>
  <c r="K4" i="17"/>
  <c r="K20" i="17"/>
  <c r="K5" i="17"/>
  <c r="O71" i="17"/>
  <c r="P71" i="17" s="1"/>
  <c r="Q71" i="17" s="1"/>
  <c r="S71" i="17"/>
  <c r="L15" i="17"/>
  <c r="N16" i="17" s="1"/>
  <c r="O16" i="17" s="1"/>
  <c r="P16" i="17" s="1"/>
  <c r="Q16" i="17" s="1"/>
  <c r="L50" i="17"/>
  <c r="L55" i="17" s="1"/>
  <c r="K21" i="17"/>
  <c r="L19" i="17" s="1"/>
  <c r="I29" i="17"/>
  <c r="H52" i="17"/>
  <c r="R71" i="17"/>
  <c r="L77" i="17"/>
  <c r="K11" i="17"/>
  <c r="L11" i="17" s="1"/>
  <c r="O12" i="17" s="1"/>
  <c r="P12" i="17" s="1"/>
  <c r="Q12" i="17" s="1"/>
  <c r="L42" i="17"/>
  <c r="H53" i="17"/>
  <c r="P66" i="17"/>
  <c r="T66" i="17"/>
  <c r="Q66" i="17"/>
  <c r="L4" i="17"/>
  <c r="S58" i="17"/>
  <c r="O58" i="17"/>
  <c r="P58" i="17" s="1"/>
  <c r="Q58" i="17" s="1"/>
  <c r="R58" i="17"/>
  <c r="L61" i="17"/>
  <c r="N62" i="17" s="1"/>
  <c r="S35" i="17"/>
  <c r="R35" i="17"/>
  <c r="O35" i="17"/>
  <c r="P35" i="17" s="1"/>
  <c r="Q35" i="17" s="1"/>
  <c r="R66" i="17"/>
  <c r="S66" i="17" s="1"/>
  <c r="R16" i="17" l="1"/>
  <c r="I52" i="17"/>
  <c r="S12" i="17"/>
  <c r="L9" i="17"/>
  <c r="R12" i="17"/>
  <c r="Q20" i="17"/>
  <c r="T20" i="17"/>
  <c r="R62" i="17"/>
  <c r="O62" i="17"/>
  <c r="P62" i="17"/>
  <c r="Q62" i="17" s="1"/>
  <c r="R20" i="17"/>
  <c r="S20" i="17" s="1"/>
  <c r="P20" i="17"/>
</calcChain>
</file>

<file path=xl/sharedStrings.xml><?xml version="1.0" encoding="utf-8"?>
<sst xmlns="http://schemas.openxmlformats.org/spreadsheetml/2006/main" count="206" uniqueCount="112">
  <si>
    <t>NO</t>
  </si>
  <si>
    <t xml:space="preserve">Description of Activities </t>
  </si>
  <si>
    <t xml:space="preserve">Unit </t>
  </si>
  <si>
    <t xml:space="preserve">Quantity </t>
  </si>
  <si>
    <t>Unit Cost (USD)</t>
  </si>
  <si>
    <t>Total Amount
(USD)</t>
  </si>
  <si>
    <t>Remarks</t>
  </si>
  <si>
    <t>L.S</t>
  </si>
  <si>
    <t>m2</t>
  </si>
  <si>
    <t>Subtotal</t>
  </si>
  <si>
    <t>Permanent Shelter Works</t>
  </si>
  <si>
    <t>Width</t>
  </si>
  <si>
    <t>Length</t>
  </si>
  <si>
    <t>Height</t>
  </si>
  <si>
    <t>Quantity</t>
  </si>
  <si>
    <t>Area</t>
  </si>
  <si>
    <t>Volume</t>
  </si>
  <si>
    <t>Excavations Foundation</t>
  </si>
  <si>
    <t>Axes 1 and 2</t>
  </si>
  <si>
    <t>Axes A, B, C, D</t>
  </si>
  <si>
    <t>Compaction</t>
  </si>
  <si>
    <t>Backfilling extra excavation</t>
  </si>
  <si>
    <t>ratio mix 1:3:6</t>
  </si>
  <si>
    <t>PCC under foundation</t>
  </si>
  <si>
    <t>Cement Volume</t>
  </si>
  <si>
    <t>Cement Bags 50kg</t>
  </si>
  <si>
    <t>Cement Kg</t>
  </si>
  <si>
    <t>Sand Volume</t>
  </si>
  <si>
    <t>Aggregate Volume</t>
  </si>
  <si>
    <t>35% mortar 1:6</t>
  </si>
  <si>
    <t>Stone Masonry Foundation</t>
  </si>
  <si>
    <t>17.5% mortar 1:6</t>
  </si>
  <si>
    <t>Brick Masonry Walls</t>
  </si>
  <si>
    <t>1 Brick Volume</t>
  </si>
  <si>
    <t>Bricks Qtt</t>
  </si>
  <si>
    <t>Axes A and D</t>
  </si>
  <si>
    <t>Axes B and C</t>
  </si>
  <si>
    <t>Kitchen</t>
  </si>
  <si>
    <t>Deduction doors</t>
  </si>
  <si>
    <t>Deduction windows</t>
  </si>
  <si>
    <t>External plaster
(Cement)</t>
  </si>
  <si>
    <t>brick wall</t>
  </si>
  <si>
    <t>Internal plaster
(Gypsum)</t>
  </si>
  <si>
    <t>living room 1</t>
  </si>
  <si>
    <t>living room 2</t>
  </si>
  <si>
    <t>kitchen</t>
  </si>
  <si>
    <t>corridor</t>
  </si>
  <si>
    <t>Roof Area</t>
  </si>
  <si>
    <t>PCC Roof Slab</t>
  </si>
  <si>
    <t>Internal Floor Area</t>
  </si>
  <si>
    <t>Internal Floor Hardcore</t>
  </si>
  <si>
    <t>Internal Floor Backfilling</t>
  </si>
  <si>
    <t>Floor Straw Mud Plaster</t>
  </si>
  <si>
    <t>Steps Main Door</t>
  </si>
  <si>
    <t>step 1</t>
  </si>
  <si>
    <t>step 2</t>
  </si>
  <si>
    <t>step 3</t>
  </si>
  <si>
    <t>step 4</t>
  </si>
  <si>
    <t>Latrine Works</t>
  </si>
  <si>
    <t>2 longit walls</t>
  </si>
  <si>
    <t>2 cross walls</t>
  </si>
  <si>
    <t>4 walls</t>
  </si>
  <si>
    <t>discount 1 door</t>
  </si>
  <si>
    <t>RCC Squating Slab</t>
  </si>
  <si>
    <t>RCC Vault frame and Door</t>
  </si>
  <si>
    <t>external</t>
  </si>
  <si>
    <t>No</t>
  </si>
  <si>
    <t xml:space="preserve">Over all cleaning of EC for finishing </t>
  </si>
  <si>
    <t>2 Big signage , 3X2 M , A2 SIGNAGE 4 , A3 SIGNAGE 8 A3 8. BANNERS</t>
  </si>
  <si>
    <t>LS</t>
  </si>
  <si>
    <t>LM</t>
  </si>
  <si>
    <t>Cum</t>
  </si>
  <si>
    <t>PCs</t>
  </si>
  <si>
    <t>Lm</t>
  </si>
  <si>
    <t>Ls</t>
  </si>
  <si>
    <t xml:space="preserve">Site clearance and leveling, grading of pathway, and improvement of water channel </t>
  </si>
  <si>
    <t>Site clearing and preparation the area including transportation of additional material and shifting to the fair place with all necessary requirements.</t>
  </si>
  <si>
    <t>Paint works for curbs fence and other elements with blue and white color</t>
  </si>
  <si>
    <t xml:space="preserve">One iron fence gate for  pedestrian access (exit) (1.5x2) Exit gate separate for pedestrians with (PCC, paint and finishing) </t>
  </si>
  <si>
    <t>General Notes: 
1. All materials and workmanship shall be in accordance with Engineering Standards, Materials Specifications, and Drawings. 
2. All main installations/system modifications will be approved and inspected by UNHCR/Government/Partner Engineer prioir to its implementation. 
3. The construction materials and items used in the projects need to be inspected and approved by engineer in charge. Approval of items are linked to the approval of submittals which should be shared two weeks in advance of delivery to projects site, for each item.  
4. Contractors shall maintain a copy of the current national and international Engineering Standards on-site at all times during construction. 
5. The contractor should ensure that implementation of the project will not cause damage to adjacent buildings, utilities or other property. This requirement is particularly importent during foundation excavation.
6. Proir to its implementation, the contractor shall compare and coordinate the drawings of all components and report any discrepancies between the drawings, field and BoQ, to UNHCR.
7. The cost shall include for purchase, delivery, installation, placing, workmanship and required activities to working order of each activity.
8. The UNHCR assume that the unit cost provided by the contractor is included the cost for the test in each items.
9. The contractor has to introduce the site engineer, quality control engineer, and project engineer to the UNHCR prior to start implementation of the project.
10. The UNHCR assume that the Administration cost, Engineers cost, Mobilization and Demobiliaation cost, and cost for the Safty during the construciton of the project is included in the unit cost. 
11. The contractor has to provide the Safty plan of the project for the UNHCR prior to implmentation of the project.</t>
  </si>
  <si>
    <t>A</t>
  </si>
  <si>
    <t xml:space="preserve">Upgrading qoueing Area </t>
  </si>
  <si>
    <t>B</t>
  </si>
  <si>
    <t>Walkway &amp; Fencing</t>
  </si>
  <si>
    <t>C</t>
  </si>
  <si>
    <t xml:space="preserve">Finishings works  </t>
  </si>
  <si>
    <t>Boulder filling 15cm for pathway</t>
  </si>
  <si>
    <t xml:space="preserve">Relocating and placement of female/male screening container to location that will be advised by security colleagues </t>
  </si>
  <si>
    <t xml:space="preserve">Removal of existing partitioning fence and its placement according to  revised beneficiaries flow in processing hall. </t>
  </si>
  <si>
    <t xml:space="preserve">Plantation and greenery around Pathways, and waiting Area </t>
  </si>
  <si>
    <t>Grant Total</t>
  </si>
  <si>
    <t>Installation of curbs stone for queuing area with  size ( 30x20x12) cm with PCC in gravel ed space</t>
  </si>
  <si>
    <t>Placing of  crushed  madium and course gravel with 10cm thickness for Queuing area</t>
  </si>
  <si>
    <t>Ropes (16mm) / 1 meter metal rode divider stand each 1 meter steel 16 mm each of the stand with bar cap</t>
  </si>
  <si>
    <t>PCC floors for pedestrian way  including  shuttering, joints and other requirement and the drawing from the Waiting Rub Hall to Main Gate of EC with 10cm for pathway</t>
  </si>
  <si>
    <t>Installation of curbs stone beside the channel and pathway with size ( 70x50x12) cm with gravel and PCC</t>
  </si>
  <si>
    <t>UNHCR SOJ
  UNHCR Encashment Center, Bihsud District, Nangarhar-Afghanistan
(Upgrading &amp; New Flow)</t>
  </si>
  <si>
    <t>Construction of PCC walkway 1.2m M1:3for disable people inside Rub Hall for NVRF people to access proccessing Area including excavation, compaction, boulder filling (15cm), PCC layer 10 cm including shuttering, joints and other requirements</t>
  </si>
  <si>
    <t xml:space="preserve">Installation of fence with Height = 2.4m M1:3 including excavation of footings for metallic poles( H=3m, Dia =10cm ) and placing of PCC and installation @ 3m with two fence door for parking lot ( W=4m) and one other for guards ( W=1.2m) </t>
  </si>
  <si>
    <t>Construction of PCC walkway W=1.2m M1:3 for disable people in the queuing area (one lane for VRF and another for NVRF holders) and inside the Rub Hall including excavation, compaction, boulder filling (15cm), PCC layer 10 cm including shuttering, joints and other requirements</t>
  </si>
  <si>
    <t>Placement of RCC pipe culvert (0.4-0.5x3)m in the channel for crossing pedestrian with placement of PCC over culvert for pedestrian crossing toward exist door</t>
  </si>
  <si>
    <t>Main Switch with circuit Breakers</t>
  </si>
  <si>
    <t xml:space="preserve">Placement of RCC Pipe culvert (0.4-0.5x3)m in the channel for crossing pedestrian with placement of PCC M15  over culvert for pedestrian crossing including formwork for PCC considering proper curing </t>
  </si>
  <si>
    <t>Grading, leveling and filling with 30cm thick compacted soil in the queuing location outside EC in the queuing Area with proper drainage channel around area</t>
  </si>
  <si>
    <t>preparing and installation of metallic canopys ( 2x2)m , H=2,5m with handrail H=1m around the canopy , Iron frame and curved roofing truss and fiber glass 10cm thick including anti rust and blue&amp; white painting</t>
  </si>
  <si>
    <t>cleaning and lining of the existed channel beside the road L= 60m</t>
  </si>
  <si>
    <t>Electrical Wiring (6mm) including conduet pipe and fitting</t>
  </si>
  <si>
    <t xml:space="preserve">Electrical wriing ( 1.5mm) including GI pole No 15  H=3 dia=5cm and PCC for its foundation  </t>
  </si>
  <si>
    <t>Electrical projector 200 watt</t>
  </si>
  <si>
    <t>Electrical projector 100 watt</t>
  </si>
  <si>
    <t>switches</t>
  </si>
  <si>
    <t xml:space="preserve">Big size 180 liter ( 5)  and small size 120 liter ( 5)  Garbage bins for EC metallic with all requried activities and installation in the 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</si>
</sst>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0"/>
    <numFmt numFmtId="167" formatCode="#,##0.000"/>
  </numFmts>
  <fonts count="17" x14ac:knownFonts="1">
    <font>
      <sz val="11"/>
      <color theme="1"/>
      <name val="Calibri"/>
      <family val="2"/>
      <scheme val="minor"/>
    </font>
    <font>
      <sz val="11"/>
      <color theme="1"/>
      <name val="Calibri"/>
      <family val="2"/>
      <scheme val="minor"/>
    </font>
    <font>
      <b/>
      <sz val="11"/>
      <color theme="1"/>
      <name val="Arial"/>
      <family val="2"/>
    </font>
    <font>
      <b/>
      <sz val="11"/>
      <color theme="1"/>
      <name val="Calibri"/>
      <family val="2"/>
      <scheme val="minor"/>
    </font>
    <font>
      <sz val="10"/>
      <name val="Arial"/>
      <family val="2"/>
    </font>
    <font>
      <sz val="11"/>
      <name val="Calibri"/>
      <family val="2"/>
      <scheme val="minor"/>
    </font>
    <font>
      <b/>
      <sz val="11"/>
      <name val="Arial"/>
      <family val="2"/>
    </font>
    <font>
      <sz val="11"/>
      <color rgb="FF9C6500"/>
      <name val="Calibri"/>
      <family val="2"/>
      <scheme val="minor"/>
    </font>
    <font>
      <sz val="11"/>
      <color rgb="FFFF0000"/>
      <name val="Calibri"/>
      <family val="2"/>
      <scheme val="minor"/>
    </font>
    <font>
      <b/>
      <sz val="11"/>
      <name val="Calibri"/>
      <family val="2"/>
      <scheme val="minor"/>
    </font>
    <font>
      <b/>
      <sz val="11"/>
      <color theme="3"/>
      <name val="Calibri"/>
      <family val="2"/>
      <scheme val="minor"/>
    </font>
    <font>
      <b/>
      <sz val="11"/>
      <color rgb="FFFF0000"/>
      <name val="Arial"/>
      <family val="2"/>
    </font>
    <font>
      <b/>
      <sz val="14"/>
      <color rgb="FF0070C0"/>
      <name val="Calibri"/>
      <family val="2"/>
      <scheme val="minor"/>
    </font>
    <font>
      <sz val="16"/>
      <color theme="1"/>
      <name val="Calibri"/>
      <family val="2"/>
      <scheme val="minor"/>
    </font>
    <font>
      <b/>
      <sz val="16"/>
      <color theme="1"/>
      <name val="Calibri"/>
      <family val="2"/>
      <scheme val="minor"/>
    </font>
    <font>
      <sz val="11"/>
      <name val="Times New Roman"/>
      <family val="1"/>
    </font>
    <font>
      <sz val="11"/>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B9C"/>
      </patternFill>
    </fill>
    <fill>
      <patternFill patternType="solid">
        <fgColor theme="0" tint="-0.249977111117893"/>
        <bgColor indexed="64"/>
      </patternFill>
    </fill>
    <fill>
      <patternFill patternType="solid">
        <fgColor theme="9" tint="0.59999389629810485"/>
        <bgColor indexed="65"/>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theme="4" tint="0.3999755851924192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7">
    <xf numFmtId="0" fontId="0" fillId="0" borderId="0"/>
    <xf numFmtId="44" fontId="1" fillId="0" borderId="0" applyFont="0" applyFill="0" applyBorder="0" applyAlignment="0" applyProtection="0"/>
    <xf numFmtId="0" fontId="1" fillId="0" borderId="0"/>
    <xf numFmtId="0" fontId="7" fillId="4" borderId="0" applyNumberFormat="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0" fillId="0" borderId="8" applyNumberFormat="0" applyFill="0" applyAlignment="0" applyProtection="0"/>
    <xf numFmtId="0" fontId="1" fillId="0" borderId="0"/>
    <xf numFmtId="43" fontId="4" fillId="0" borderId="0" applyFont="0" applyFill="0" applyBorder="0" applyAlignment="0" applyProtection="0"/>
    <xf numFmtId="43" fontId="1" fillId="0" borderId="0" applyFont="0" applyFill="0" applyBorder="0" applyAlignment="0" applyProtection="0"/>
    <xf numFmtId="0" fontId="1" fillId="6"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cellStyleXfs>
  <cellXfs count="118">
    <xf numFmtId="0" fontId="0" fillId="0" borderId="0" xfId="0"/>
    <xf numFmtId="0" fontId="0" fillId="0" borderId="0" xfId="0" applyAlignment="1">
      <alignment horizontal="center"/>
    </xf>
    <xf numFmtId="0" fontId="5"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165" fontId="5" fillId="0" borderId="1" xfId="0" applyNumberFormat="1" applyFont="1" applyBorder="1" applyAlignment="1">
      <alignment horizontal="center"/>
    </xf>
    <xf numFmtId="0" fontId="5" fillId="0" borderId="0" xfId="0" applyFont="1" applyAlignment="1">
      <alignment horizontal="center"/>
    </xf>
    <xf numFmtId="2" fontId="5" fillId="0" borderId="1" xfId="0" applyNumberFormat="1" applyFont="1" applyBorder="1" applyAlignment="1">
      <alignment horizontal="center"/>
    </xf>
    <xf numFmtId="0" fontId="5" fillId="0" borderId="1" xfId="0" applyFont="1" applyBorder="1" applyAlignment="1">
      <alignment horizontal="center"/>
    </xf>
    <xf numFmtId="0" fontId="9" fillId="0" borderId="0" xfId="0" applyFont="1" applyAlignment="1">
      <alignment vertical="center"/>
    </xf>
    <xf numFmtId="165" fontId="5" fillId="0" borderId="0" xfId="0" applyNumberFormat="1" applyFont="1"/>
    <xf numFmtId="2" fontId="9" fillId="0" borderId="0" xfId="0" applyNumberFormat="1" applyFont="1" applyAlignment="1">
      <alignment vertical="center"/>
    </xf>
    <xf numFmtId="0" fontId="9" fillId="0" borderId="0" xfId="0" applyFont="1" applyAlignment="1">
      <alignment horizontal="center"/>
    </xf>
    <xf numFmtId="0" fontId="9" fillId="0" borderId="0" xfId="0" applyFont="1"/>
    <xf numFmtId="2" fontId="5" fillId="0" borderId="0" xfId="0" applyNumberFormat="1" applyFont="1" applyAlignment="1">
      <alignment horizontal="center"/>
    </xf>
    <xf numFmtId="165" fontId="5" fillId="0" borderId="0" xfId="0" applyNumberFormat="1" applyFont="1" applyAlignment="1">
      <alignment horizontal="center"/>
    </xf>
    <xf numFmtId="165" fontId="9" fillId="0" borderId="0" xfId="0" applyNumberFormat="1" applyFont="1" applyAlignment="1">
      <alignment vertical="center"/>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2" fontId="5" fillId="0" borderId="0" xfId="0" applyNumberFormat="1" applyFont="1"/>
    <xf numFmtId="2" fontId="9" fillId="3" borderId="1" xfId="0" applyNumberFormat="1" applyFont="1" applyFill="1" applyBorder="1" applyAlignment="1">
      <alignment horizontal="center" vertical="center"/>
    </xf>
    <xf numFmtId="166" fontId="5" fillId="0" borderId="0" xfId="0" applyNumberFormat="1" applyFont="1" applyAlignment="1">
      <alignment horizontal="center"/>
    </xf>
    <xf numFmtId="2" fontId="5" fillId="0" borderId="0" xfId="0" applyNumberFormat="1" applyFont="1" applyAlignment="1">
      <alignment horizontal="center" vertical="center"/>
    </xf>
    <xf numFmtId="3" fontId="9" fillId="0" borderId="0" xfId="0" applyNumberFormat="1" applyFont="1" applyAlignment="1">
      <alignment horizontal="center" vertical="center"/>
    </xf>
    <xf numFmtId="0" fontId="9" fillId="3" borderId="1" xfId="0" applyFont="1" applyFill="1" applyBorder="1" applyAlignment="1">
      <alignment horizontal="center" vertical="center" wrapText="1"/>
    </xf>
    <xf numFmtId="165" fontId="9" fillId="3" borderId="1" xfId="0" applyNumberFormat="1" applyFont="1" applyFill="1" applyBorder="1" applyAlignment="1">
      <alignment horizontal="center" vertical="center"/>
    </xf>
    <xf numFmtId="0" fontId="9" fillId="5" borderId="1" xfId="0" applyFont="1" applyFill="1" applyBorder="1" applyAlignment="1">
      <alignment horizontal="center"/>
    </xf>
    <xf numFmtId="0" fontId="9" fillId="7" borderId="1" xfId="0" applyFont="1" applyFill="1" applyBorder="1" applyAlignment="1">
      <alignment horizontal="center" vertical="center"/>
    </xf>
    <xf numFmtId="3" fontId="9" fillId="7" borderId="1" xfId="0" applyNumberFormat="1" applyFont="1" applyFill="1" applyBorder="1" applyAlignment="1">
      <alignment horizontal="center"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xf>
    <xf numFmtId="0" fontId="3" fillId="0" borderId="0" xfId="0" applyFont="1" applyAlignment="1">
      <alignment horizontal="center"/>
    </xf>
    <xf numFmtId="164" fontId="8" fillId="0" borderId="0" xfId="0" applyNumberFormat="1" applyFont="1"/>
    <xf numFmtId="2" fontId="9" fillId="8"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3" fillId="0" borderId="0" xfId="0" applyFont="1"/>
    <xf numFmtId="165" fontId="3" fillId="0" borderId="1" xfId="0" applyNumberFormat="1" applyFont="1" applyBorder="1" applyAlignment="1">
      <alignment horizontal="center"/>
    </xf>
    <xf numFmtId="2" fontId="9" fillId="7" borderId="1" xfId="0" applyNumberFormat="1" applyFont="1" applyFill="1" applyBorder="1" applyAlignment="1">
      <alignment horizontal="center" vertical="center"/>
    </xf>
    <xf numFmtId="2" fontId="9" fillId="0" borderId="0" xfId="0" applyNumberFormat="1" applyFont="1" applyAlignment="1">
      <alignment horizontal="center" vertical="center"/>
    </xf>
    <xf numFmtId="0" fontId="9" fillId="9" borderId="1" xfId="0" applyFont="1" applyFill="1" applyBorder="1" applyAlignment="1">
      <alignment horizontal="center" vertical="center"/>
    </xf>
    <xf numFmtId="2" fontId="9" fillId="9" borderId="1" xfId="0" applyNumberFormat="1" applyFont="1" applyFill="1" applyBorder="1" applyAlignment="1">
      <alignment horizontal="center" vertical="center"/>
    </xf>
    <xf numFmtId="0" fontId="9" fillId="0" borderId="0" xfId="0" applyFont="1" applyAlignment="1">
      <alignment horizontal="center" vertical="center"/>
    </xf>
    <xf numFmtId="165" fontId="3" fillId="0" borderId="0" xfId="0" applyNumberFormat="1" applyFont="1" applyAlignment="1">
      <alignment horizontal="center"/>
    </xf>
    <xf numFmtId="167" fontId="11" fillId="0" borderId="0" xfId="0" applyNumberFormat="1" applyFont="1" applyAlignment="1">
      <alignment horizontal="center" vertical="center" wrapText="1"/>
    </xf>
    <xf numFmtId="167" fontId="6" fillId="0" borderId="0" xfId="0" applyNumberFormat="1" applyFont="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165" fontId="4" fillId="0" borderId="13" xfId="0" applyNumberFormat="1" applyFont="1" applyBorder="1" applyAlignment="1">
      <alignment horizontal="center" vertical="center" wrapText="1"/>
    </xf>
    <xf numFmtId="44" fontId="4" fillId="0" borderId="13" xfId="1" applyFont="1" applyBorder="1" applyAlignment="1">
      <alignment horizontal="center" vertical="center" wrapText="1"/>
    </xf>
    <xf numFmtId="0" fontId="0" fillId="0" borderId="14" xfId="0" applyFill="1" applyBorder="1" applyAlignment="1">
      <alignment horizontal="center" vertical="center"/>
    </xf>
    <xf numFmtId="0" fontId="4" fillId="2" borderId="15" xfId="0" applyFont="1" applyFill="1" applyBorder="1" applyAlignment="1">
      <alignment vertical="center" wrapText="1"/>
    </xf>
    <xf numFmtId="1" fontId="4" fillId="0" borderId="13" xfId="0" applyNumberFormat="1" applyFont="1" applyBorder="1" applyAlignment="1">
      <alignment horizontal="center" vertical="center" wrapText="1"/>
    </xf>
    <xf numFmtId="44" fontId="14" fillId="10" borderId="9" xfId="1" applyFont="1" applyFill="1" applyBorder="1"/>
    <xf numFmtId="0" fontId="13" fillId="10" borderId="10" xfId="0" applyFont="1" applyFill="1" applyBorder="1"/>
    <xf numFmtId="0" fontId="0" fillId="0" borderId="14" xfId="0" applyFill="1" applyBorder="1" applyAlignment="1">
      <alignment horizontal="left" vertical="center" wrapText="1"/>
    </xf>
    <xf numFmtId="0" fontId="4" fillId="0" borderId="16" xfId="0" applyFont="1" applyBorder="1" applyAlignment="1">
      <alignment horizontal="center" vertical="center" wrapText="1"/>
    </xf>
    <xf numFmtId="0" fontId="4" fillId="2" borderId="17" xfId="0" applyFont="1" applyFill="1" applyBorder="1" applyAlignment="1">
      <alignment vertical="center" wrapText="1"/>
    </xf>
    <xf numFmtId="0" fontId="4" fillId="0" borderId="18" xfId="0" applyFont="1" applyBorder="1" applyAlignment="1">
      <alignment horizontal="center" vertical="center" wrapText="1"/>
    </xf>
    <xf numFmtId="44" fontId="4" fillId="0" borderId="18" xfId="1" applyFont="1" applyBorder="1" applyAlignment="1">
      <alignment horizontal="center" vertical="center" wrapText="1"/>
    </xf>
    <xf numFmtId="0" fontId="0" fillId="0" borderId="19" xfId="0" applyFill="1" applyBorder="1" applyAlignment="1">
      <alignment horizontal="center" vertical="center"/>
    </xf>
    <xf numFmtId="0" fontId="2" fillId="3" borderId="20" xfId="0" applyFont="1" applyFill="1" applyBorder="1" applyAlignment="1">
      <alignment horizontal="center" vertical="center" wrapText="1"/>
    </xf>
    <xf numFmtId="0" fontId="2" fillId="3" borderId="6" xfId="0" applyFont="1" applyFill="1" applyBorder="1" applyAlignment="1">
      <alignment horizontal="center" vertical="center" wrapText="1"/>
    </xf>
    <xf numFmtId="164" fontId="6" fillId="3" borderId="6" xfId="0" applyNumberFormat="1" applyFont="1" applyFill="1" applyBorder="1" applyAlignment="1">
      <alignment horizontal="center" vertical="center" wrapText="1"/>
    </xf>
    <xf numFmtId="0" fontId="2" fillId="3" borderId="21" xfId="0" applyFont="1" applyFill="1" applyBorder="1" applyAlignment="1">
      <alignment horizontal="center" vertical="center" wrapText="1"/>
    </xf>
    <xf numFmtId="0" fontId="16" fillId="0" borderId="0" xfId="0" applyFont="1"/>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164" fontId="6" fillId="3" borderId="23" xfId="0" applyNumberFormat="1"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2" borderId="0" xfId="0" applyFont="1" applyFill="1" applyBorder="1" applyAlignment="1">
      <alignment vertical="center" wrapText="1"/>
    </xf>
    <xf numFmtId="0" fontId="4" fillId="0" borderId="6" xfId="0" applyFont="1" applyBorder="1" applyAlignment="1">
      <alignment horizontal="center" vertical="center" wrapText="1"/>
    </xf>
    <xf numFmtId="1" fontId="4" fillId="0" borderId="6" xfId="0" applyNumberFormat="1" applyFont="1" applyBorder="1" applyAlignment="1">
      <alignment horizontal="center" vertical="center" wrapText="1"/>
    </xf>
    <xf numFmtId="44" fontId="4" fillId="0" borderId="6" xfId="1" applyFont="1" applyBorder="1" applyAlignment="1">
      <alignment horizontal="center" vertical="center" wrapText="1"/>
    </xf>
    <xf numFmtId="0" fontId="0" fillId="0" borderId="21" xfId="0" applyFill="1" applyBorder="1" applyAlignment="1">
      <alignment horizontal="center" vertical="center"/>
    </xf>
    <xf numFmtId="165" fontId="4" fillId="0" borderId="18"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2" borderId="30" xfId="0" applyFont="1" applyFill="1" applyBorder="1" applyAlignment="1">
      <alignment vertical="center" wrapText="1"/>
    </xf>
    <xf numFmtId="0" fontId="4" fillId="0" borderId="30" xfId="0" applyFont="1" applyBorder="1" applyAlignment="1">
      <alignment horizontal="center" vertical="center" wrapText="1"/>
    </xf>
    <xf numFmtId="165" fontId="4" fillId="0" borderId="30" xfId="0" applyNumberFormat="1" applyFont="1" applyBorder="1" applyAlignment="1">
      <alignment horizontal="center" vertical="center" wrapText="1"/>
    </xf>
    <xf numFmtId="44" fontId="4" fillId="0" borderId="30" xfId="1" applyFont="1" applyBorder="1" applyAlignment="1">
      <alignment horizontal="center" vertical="center" wrapText="1"/>
    </xf>
    <xf numFmtId="0" fontId="0" fillId="0" borderId="31" xfId="0" applyFill="1" applyBorder="1" applyAlignment="1">
      <alignment horizontal="center" vertical="center"/>
    </xf>
    <xf numFmtId="44" fontId="2" fillId="3" borderId="23" xfId="0" applyNumberFormat="1"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164" fontId="6" fillId="3" borderId="33" xfId="0" applyNumberFormat="1"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23" xfId="0" applyFont="1" applyFill="1" applyBorder="1" applyAlignment="1">
      <alignment horizontal="left" vertical="center" wrapText="1"/>
    </xf>
    <xf numFmtId="0" fontId="14" fillId="10" borderId="4" xfId="0" applyFont="1" applyFill="1" applyBorder="1" applyAlignment="1">
      <alignment horizontal="center"/>
    </xf>
    <xf numFmtId="0" fontId="14" fillId="10" borderId="5" xfId="0" applyFont="1" applyFill="1" applyBorder="1" applyAlignment="1">
      <alignment horizontal="center"/>
    </xf>
    <xf numFmtId="0" fontId="14" fillId="10" borderId="11" xfId="0" applyFont="1" applyFill="1" applyBorder="1" applyAlignment="1">
      <alignment horizont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25" xfId="0" applyFont="1" applyBorder="1" applyAlignment="1">
      <alignment horizontal="center"/>
    </xf>
    <xf numFmtId="0" fontId="15" fillId="0" borderId="26" xfId="16" applyFont="1" applyBorder="1" applyAlignment="1">
      <alignment horizontal="left" vertical="top" wrapText="1"/>
    </xf>
    <xf numFmtId="0" fontId="15" fillId="0" borderId="27" xfId="16" applyFont="1" applyBorder="1" applyAlignment="1">
      <alignment horizontal="left" vertical="top" wrapText="1"/>
    </xf>
    <xf numFmtId="0" fontId="15" fillId="0" borderId="28" xfId="16" applyFont="1" applyBorder="1" applyAlignment="1">
      <alignment horizontal="left" vertical="top"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65" fontId="9" fillId="3" borderId="1" xfId="0" applyNumberFormat="1" applyFont="1" applyFill="1" applyBorder="1" applyAlignment="1">
      <alignment horizontal="center" vertical="center"/>
    </xf>
    <xf numFmtId="0" fontId="9" fillId="5" borderId="1" xfId="0" applyFont="1" applyFill="1" applyBorder="1" applyAlignment="1">
      <alignment horizontal="center"/>
    </xf>
    <xf numFmtId="0" fontId="9" fillId="8"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165" fontId="9" fillId="3" borderId="7" xfId="0" applyNumberFormat="1" applyFont="1" applyFill="1" applyBorder="1" applyAlignment="1">
      <alignment horizontal="center" vertical="center"/>
    </xf>
    <xf numFmtId="165" fontId="9" fillId="3" borderId="6" xfId="0" applyNumberFormat="1" applyFont="1" applyFill="1" applyBorder="1" applyAlignment="1">
      <alignment horizontal="center" vertical="center"/>
    </xf>
    <xf numFmtId="165" fontId="9" fillId="3" borderId="3" xfId="0" applyNumberFormat="1" applyFont="1" applyFill="1" applyBorder="1" applyAlignment="1">
      <alignment horizontal="center" vertical="center"/>
    </xf>
    <xf numFmtId="0" fontId="9" fillId="9" borderId="1" xfId="0" applyFont="1" applyFill="1" applyBorder="1" applyAlignment="1">
      <alignment horizontal="center" vertical="center"/>
    </xf>
    <xf numFmtId="165" fontId="9" fillId="9" borderId="1" xfId="0" applyNumberFormat="1" applyFont="1" applyFill="1" applyBorder="1" applyAlignment="1">
      <alignment horizontal="center" vertical="center"/>
    </xf>
  </cellXfs>
  <cellStyles count="17">
    <cellStyle name="40% - Accent6 3 3" xfId="13"/>
    <cellStyle name="Comma 2" xfId="8"/>
    <cellStyle name="Comma 2 2" xfId="11"/>
    <cellStyle name="Comma 3 3" xfId="6"/>
    <cellStyle name="Comma 3 3 2 3" xfId="14"/>
    <cellStyle name="Comma 5" xfId="4"/>
    <cellStyle name="Comma 5 2 3" xfId="12"/>
    <cellStyle name="Currency" xfId="1" builtinId="4"/>
    <cellStyle name="Currency 2" xfId="7"/>
    <cellStyle name="Currency 2 2 3" xfId="15"/>
    <cellStyle name="Heading 3 2" xfId="9"/>
    <cellStyle name="Neutral 2" xfId="3"/>
    <cellStyle name="Normal" xfId="0" builtinId="0"/>
    <cellStyle name="Normal 2" xfId="5"/>
    <cellStyle name="Normal 2 3" xfId="2"/>
    <cellStyle name="Normal 2 3 2 3" xfId="10"/>
    <cellStyle name="Normal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91818</xdr:colOff>
      <xdr:row>0</xdr:row>
      <xdr:rowOff>63833</xdr:rowOff>
    </xdr:from>
    <xdr:to>
      <xdr:col>1</xdr:col>
      <xdr:colOff>2335161</xdr:colOff>
      <xdr:row>0</xdr:row>
      <xdr:rowOff>876915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18" y="63833"/>
          <a:ext cx="2673504" cy="81308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abSelected="1" topLeftCell="A17" zoomScale="80" zoomScaleNormal="80" zoomScaleSheetLayoutView="78" workbookViewId="0">
      <selection activeCell="C36" sqref="C36"/>
    </sheetView>
  </sheetViews>
  <sheetFormatPr defaultRowHeight="14.4" x14ac:dyDescent="0.3"/>
  <cols>
    <col min="1" max="1" width="6.109375" style="1" customWidth="1"/>
    <col min="2" max="2" width="69.109375" customWidth="1"/>
    <col min="3" max="3" width="12.88671875" customWidth="1"/>
    <col min="4" max="4" width="12.5546875" customWidth="1"/>
    <col min="5" max="5" width="19" style="36" customWidth="1"/>
    <col min="6" max="6" width="20.109375" customWidth="1"/>
    <col min="7" max="7" width="37.44140625" customWidth="1"/>
  </cols>
  <sheetData>
    <row r="1" spans="1:7" ht="97.5" customHeight="1" thickBot="1" x14ac:dyDescent="0.35">
      <c r="A1" s="95" t="s">
        <v>96</v>
      </c>
      <c r="B1" s="96"/>
      <c r="C1" s="96"/>
      <c r="D1" s="96"/>
      <c r="E1" s="96"/>
      <c r="F1" s="96"/>
      <c r="G1" s="97"/>
    </row>
    <row r="2" spans="1:7" s="69" customFormat="1" ht="13.8" x14ac:dyDescent="0.25">
      <c r="A2" s="98"/>
      <c r="B2" s="98"/>
      <c r="C2" s="98"/>
      <c r="D2" s="98"/>
      <c r="E2" s="98"/>
      <c r="F2" s="98"/>
      <c r="G2" s="98"/>
    </row>
    <row r="3" spans="1:7" s="69" customFormat="1" ht="206.1" customHeight="1" x14ac:dyDescent="0.25">
      <c r="A3" s="99" t="s">
        <v>79</v>
      </c>
      <c r="B3" s="100"/>
      <c r="C3" s="100"/>
      <c r="D3" s="100"/>
      <c r="E3" s="100"/>
      <c r="F3" s="100"/>
      <c r="G3" s="101"/>
    </row>
    <row r="4" spans="1:7" ht="28.2" thickBot="1" x14ac:dyDescent="0.35">
      <c r="A4" s="70" t="s">
        <v>0</v>
      </c>
      <c r="B4" s="71" t="s">
        <v>1</v>
      </c>
      <c r="C4" s="71" t="s">
        <v>2</v>
      </c>
      <c r="D4" s="71" t="s">
        <v>3</v>
      </c>
      <c r="E4" s="72" t="s">
        <v>4</v>
      </c>
      <c r="F4" s="71" t="s">
        <v>5</v>
      </c>
      <c r="G4" s="73" t="s">
        <v>6</v>
      </c>
    </row>
    <row r="5" spans="1:7" ht="15" thickBot="1" x14ac:dyDescent="0.35">
      <c r="A5" s="65" t="s">
        <v>80</v>
      </c>
      <c r="B5" s="66" t="s">
        <v>81</v>
      </c>
      <c r="C5" s="66"/>
      <c r="D5" s="66"/>
      <c r="E5" s="67"/>
      <c r="F5" s="66"/>
      <c r="G5" s="68"/>
    </row>
    <row r="6" spans="1:7" s="2" customFormat="1" ht="26.4" x14ac:dyDescent="0.3">
      <c r="A6" s="80">
        <v>1</v>
      </c>
      <c r="B6" s="81" t="s">
        <v>76</v>
      </c>
      <c r="C6" s="82" t="s">
        <v>69</v>
      </c>
      <c r="D6" s="83">
        <v>1</v>
      </c>
      <c r="E6" s="84"/>
      <c r="F6" s="84">
        <f t="shared" ref="F6:F7" si="0">D6*E6</f>
        <v>0</v>
      </c>
      <c r="G6" s="85"/>
    </row>
    <row r="7" spans="1:7" s="2" customFormat="1" ht="39.6" x14ac:dyDescent="0.3">
      <c r="A7" s="60">
        <v>2</v>
      </c>
      <c r="B7" s="61" t="s">
        <v>102</v>
      </c>
      <c r="C7" s="62" t="s">
        <v>66</v>
      </c>
      <c r="D7" s="79">
        <v>1</v>
      </c>
      <c r="E7" s="63"/>
      <c r="F7" s="53">
        <f t="shared" si="0"/>
        <v>0</v>
      </c>
      <c r="G7" s="64"/>
    </row>
    <row r="8" spans="1:7" s="2" customFormat="1" ht="26.4" x14ac:dyDescent="0.3">
      <c r="A8" s="60">
        <v>3</v>
      </c>
      <c r="B8" s="61" t="s">
        <v>103</v>
      </c>
      <c r="C8" s="62" t="s">
        <v>8</v>
      </c>
      <c r="D8" s="62">
        <v>990</v>
      </c>
      <c r="E8" s="63"/>
      <c r="F8" s="63">
        <f>D8*E8</f>
        <v>0</v>
      </c>
      <c r="G8" s="64"/>
    </row>
    <row r="9" spans="1:7" s="2" customFormat="1" ht="26.4" x14ac:dyDescent="0.3">
      <c r="A9" s="60">
        <v>5</v>
      </c>
      <c r="B9" s="61" t="s">
        <v>92</v>
      </c>
      <c r="C9" s="62" t="s">
        <v>71</v>
      </c>
      <c r="D9" s="62">
        <v>45</v>
      </c>
      <c r="E9" s="63"/>
      <c r="F9" s="63">
        <f t="shared" ref="F9:F12" si="1">D9*E9</f>
        <v>0</v>
      </c>
      <c r="G9" s="64"/>
    </row>
    <row r="10" spans="1:7" s="2" customFormat="1" ht="26.4" x14ac:dyDescent="0.3">
      <c r="A10" s="50">
        <v>4</v>
      </c>
      <c r="B10" s="61" t="s">
        <v>91</v>
      </c>
      <c r="C10" s="62" t="s">
        <v>70</v>
      </c>
      <c r="D10" s="62">
        <v>180</v>
      </c>
      <c r="E10" s="63"/>
      <c r="F10" s="63">
        <f>D10*E10</f>
        <v>0</v>
      </c>
      <c r="G10" s="64"/>
    </row>
    <row r="11" spans="1:7" s="2" customFormat="1" ht="52.8" x14ac:dyDescent="0.3">
      <c r="A11" s="60">
        <v>6</v>
      </c>
      <c r="B11" s="61" t="s">
        <v>99</v>
      </c>
      <c r="C11" s="62" t="s">
        <v>71</v>
      </c>
      <c r="D11" s="62">
        <f>(25+30+14+5+24+6)*1.2*0.1</f>
        <v>12.48</v>
      </c>
      <c r="E11" s="63"/>
      <c r="F11" s="63">
        <f t="shared" si="1"/>
        <v>0</v>
      </c>
      <c r="G11" s="64"/>
    </row>
    <row r="12" spans="1:7" s="2" customFormat="1" ht="26.4" x14ac:dyDescent="0.3">
      <c r="A12" s="50">
        <v>7</v>
      </c>
      <c r="B12" s="55" t="s">
        <v>93</v>
      </c>
      <c r="C12" s="62" t="s">
        <v>73</v>
      </c>
      <c r="D12" s="62">
        <v>450</v>
      </c>
      <c r="E12" s="63"/>
      <c r="F12" s="63">
        <f t="shared" si="1"/>
        <v>0</v>
      </c>
      <c r="G12" s="64"/>
    </row>
    <row r="13" spans="1:7" s="2" customFormat="1" ht="39.6" x14ac:dyDescent="0.3">
      <c r="A13" s="60">
        <v>8</v>
      </c>
      <c r="B13" s="61" t="s">
        <v>104</v>
      </c>
      <c r="C13" s="62" t="s">
        <v>72</v>
      </c>
      <c r="D13" s="62">
        <v>3</v>
      </c>
      <c r="E13" s="63"/>
      <c r="F13" s="63">
        <f>D13*E13</f>
        <v>0</v>
      </c>
      <c r="G13" s="64"/>
    </row>
    <row r="14" spans="1:7" ht="15" thickBot="1" x14ac:dyDescent="0.35">
      <c r="A14" s="70"/>
      <c r="B14" s="91" t="s">
        <v>9</v>
      </c>
      <c r="C14" s="71"/>
      <c r="D14" s="71"/>
      <c r="E14" s="72"/>
      <c r="F14" s="86">
        <f>SUM(F6:F13)</f>
        <v>0</v>
      </c>
      <c r="G14" s="73"/>
    </row>
    <row r="15" spans="1:7" x14ac:dyDescent="0.3">
      <c r="A15" s="87" t="s">
        <v>82</v>
      </c>
      <c r="B15" s="88" t="s">
        <v>83</v>
      </c>
      <c r="C15" s="88"/>
      <c r="D15" s="88"/>
      <c r="E15" s="89"/>
      <c r="F15" s="89"/>
      <c r="G15" s="90"/>
    </row>
    <row r="16" spans="1:7" s="2" customFormat="1" ht="26.4" x14ac:dyDescent="0.3">
      <c r="A16" s="60">
        <v>1</v>
      </c>
      <c r="B16" s="61" t="s">
        <v>75</v>
      </c>
      <c r="C16" s="62" t="s">
        <v>74</v>
      </c>
      <c r="D16" s="62">
        <v>1</v>
      </c>
      <c r="E16" s="63"/>
      <c r="F16" s="63">
        <f>D16*E16</f>
        <v>0</v>
      </c>
      <c r="G16" s="64"/>
    </row>
    <row r="17" spans="1:16" s="2" customFormat="1" x14ac:dyDescent="0.3">
      <c r="A17" s="50">
        <v>2</v>
      </c>
      <c r="B17" s="61" t="s">
        <v>86</v>
      </c>
      <c r="C17" s="62" t="s">
        <v>71</v>
      </c>
      <c r="D17" s="62">
        <v>19</v>
      </c>
      <c r="E17" s="63"/>
      <c r="F17" s="63">
        <f>D17*E17</f>
        <v>0</v>
      </c>
      <c r="G17" s="64"/>
    </row>
    <row r="18" spans="1:16" s="2" customFormat="1" ht="39.6" x14ac:dyDescent="0.3">
      <c r="A18" s="60">
        <v>3</v>
      </c>
      <c r="B18" s="61" t="s">
        <v>94</v>
      </c>
      <c r="C18" s="62" t="s">
        <v>71</v>
      </c>
      <c r="D18" s="62">
        <v>13</v>
      </c>
      <c r="E18" s="63"/>
      <c r="F18" s="63">
        <f>D18*E18</f>
        <v>0</v>
      </c>
      <c r="G18" s="64"/>
    </row>
    <row r="19" spans="1:16" s="2" customFormat="1" ht="26.4" x14ac:dyDescent="0.3">
      <c r="A19" s="60">
        <v>4</v>
      </c>
      <c r="B19" s="61" t="s">
        <v>95</v>
      </c>
      <c r="C19" s="62" t="s">
        <v>70</v>
      </c>
      <c r="D19" s="62">
        <v>162</v>
      </c>
      <c r="E19" s="63"/>
      <c r="F19" s="63">
        <f>D19*E19</f>
        <v>0</v>
      </c>
      <c r="G19" s="64"/>
    </row>
    <row r="20" spans="1:16" s="2" customFormat="1" x14ac:dyDescent="0.3">
      <c r="A20" s="50">
        <v>5</v>
      </c>
      <c r="B20" s="61" t="s">
        <v>105</v>
      </c>
      <c r="C20" s="62" t="s">
        <v>69</v>
      </c>
      <c r="D20" s="62">
        <v>1</v>
      </c>
      <c r="E20" s="63"/>
      <c r="F20" s="63">
        <f t="shared" ref="F20" si="2">D20*E20</f>
        <v>0</v>
      </c>
      <c r="G20" s="64"/>
    </row>
    <row r="21" spans="1:16" s="2" customFormat="1" ht="39.6" x14ac:dyDescent="0.3">
      <c r="A21" s="60">
        <v>6</v>
      </c>
      <c r="B21" s="61" t="s">
        <v>98</v>
      </c>
      <c r="C21" s="62" t="s">
        <v>70</v>
      </c>
      <c r="D21" s="62">
        <v>81</v>
      </c>
      <c r="E21" s="63"/>
      <c r="F21" s="63">
        <f t="shared" ref="F21" si="3">D21*E21</f>
        <v>0</v>
      </c>
      <c r="G21" s="64"/>
    </row>
    <row r="22" spans="1:16" s="2" customFormat="1" ht="39.6" x14ac:dyDescent="0.3">
      <c r="A22" s="60">
        <v>2</v>
      </c>
      <c r="B22" s="61" t="s">
        <v>100</v>
      </c>
      <c r="C22" s="62" t="s">
        <v>66</v>
      </c>
      <c r="D22" s="79">
        <v>1</v>
      </c>
      <c r="E22" s="63"/>
      <c r="F22" s="53">
        <f t="shared" ref="F22" si="4">D22*E22</f>
        <v>0</v>
      </c>
      <c r="G22" s="64"/>
    </row>
    <row r="23" spans="1:16" s="2" customFormat="1" ht="26.4" x14ac:dyDescent="0.3">
      <c r="A23" s="60">
        <v>7</v>
      </c>
      <c r="B23" s="55" t="s">
        <v>78</v>
      </c>
      <c r="C23" s="51" t="s">
        <v>66</v>
      </c>
      <c r="D23" s="56">
        <v>1</v>
      </c>
      <c r="E23" s="53"/>
      <c r="F23" s="53">
        <f>D23*E23</f>
        <v>0</v>
      </c>
      <c r="G23" s="54"/>
      <c r="I23" s="14"/>
      <c r="J23" s="14"/>
      <c r="M23" s="14"/>
      <c r="N23" s="14"/>
      <c r="P23" s="14"/>
    </row>
    <row r="24" spans="1:16" s="2" customFormat="1" ht="26.4" x14ac:dyDescent="0.3">
      <c r="A24" s="50">
        <v>8</v>
      </c>
      <c r="B24" s="74" t="s">
        <v>87</v>
      </c>
      <c r="C24" s="75" t="s">
        <v>69</v>
      </c>
      <c r="D24" s="76">
        <v>1</v>
      </c>
      <c r="E24" s="77"/>
      <c r="F24" s="77">
        <f>D24*E24</f>
        <v>0</v>
      </c>
      <c r="G24" s="78"/>
      <c r="I24" s="14"/>
      <c r="J24" s="14"/>
      <c r="M24" s="14"/>
      <c r="N24" s="14"/>
      <c r="P24" s="14"/>
    </row>
    <row r="25" spans="1:16" s="2" customFormat="1" ht="52.8" x14ac:dyDescent="0.3">
      <c r="A25" s="60">
        <v>9</v>
      </c>
      <c r="B25" s="61" t="s">
        <v>97</v>
      </c>
      <c r="C25" s="62" t="s">
        <v>71</v>
      </c>
      <c r="D25" s="62">
        <f>(24+12+8)*1.2*0.1</f>
        <v>5.28</v>
      </c>
      <c r="E25" s="63"/>
      <c r="F25" s="63">
        <f t="shared" ref="F25" si="5">D25*E25</f>
        <v>0</v>
      </c>
      <c r="G25" s="64"/>
    </row>
    <row r="26" spans="1:16" ht="15" thickBot="1" x14ac:dyDescent="0.35">
      <c r="A26" s="70"/>
      <c r="B26" s="91" t="s">
        <v>9</v>
      </c>
      <c r="C26" s="71"/>
      <c r="D26" s="71"/>
      <c r="E26" s="72"/>
      <c r="F26" s="86">
        <f>SUM(F16:F25)</f>
        <v>0</v>
      </c>
      <c r="G26" s="73"/>
    </row>
    <row r="27" spans="1:16" x14ac:dyDescent="0.3">
      <c r="A27" s="65" t="s">
        <v>84</v>
      </c>
      <c r="B27" s="66" t="s">
        <v>85</v>
      </c>
      <c r="C27" s="66"/>
      <c r="D27" s="66"/>
      <c r="E27" s="67"/>
      <c r="F27" s="66"/>
      <c r="G27" s="68"/>
    </row>
    <row r="28" spans="1:16" s="2" customFormat="1" x14ac:dyDescent="0.3">
      <c r="A28" s="50">
        <v>1</v>
      </c>
      <c r="B28" s="55" t="s">
        <v>77</v>
      </c>
      <c r="C28" s="51" t="s">
        <v>8</v>
      </c>
      <c r="D28" s="56">
        <v>30</v>
      </c>
      <c r="E28" s="53"/>
      <c r="F28" s="53">
        <f t="shared" ref="F28:F29" si="6">D28*E28</f>
        <v>0</v>
      </c>
      <c r="G28" s="54"/>
      <c r="I28" s="14"/>
      <c r="J28" s="14"/>
      <c r="M28" s="14"/>
      <c r="N28" s="14"/>
      <c r="P28" s="14"/>
    </row>
    <row r="29" spans="1:16" s="2" customFormat="1" ht="33" customHeight="1" x14ac:dyDescent="0.3">
      <c r="A29" s="50">
        <v>2</v>
      </c>
      <c r="B29" s="55" t="s">
        <v>88</v>
      </c>
      <c r="C29" s="51" t="s">
        <v>69</v>
      </c>
      <c r="D29" s="56">
        <v>1</v>
      </c>
      <c r="E29" s="53"/>
      <c r="F29" s="53">
        <f t="shared" si="6"/>
        <v>0</v>
      </c>
      <c r="G29" s="54"/>
      <c r="I29" s="14"/>
      <c r="J29" s="14"/>
      <c r="M29" s="14"/>
      <c r="N29" s="14"/>
      <c r="P29" s="14"/>
    </row>
    <row r="30" spans="1:16" s="2" customFormat="1" x14ac:dyDescent="0.3">
      <c r="A30" s="50">
        <v>3</v>
      </c>
      <c r="B30" s="55" t="s">
        <v>68</v>
      </c>
      <c r="C30" s="51" t="s">
        <v>69</v>
      </c>
      <c r="D30" s="56">
        <v>1</v>
      </c>
      <c r="E30" s="53"/>
      <c r="F30" s="53">
        <f t="shared" ref="F30:F40" si="7">D30*E30</f>
        <v>0</v>
      </c>
      <c r="G30" s="59"/>
      <c r="I30" s="14"/>
      <c r="J30" s="14"/>
      <c r="M30" s="14"/>
      <c r="N30" s="14"/>
      <c r="P30" s="14"/>
    </row>
    <row r="31" spans="1:16" s="2" customFormat="1" ht="26.25" customHeight="1" x14ac:dyDescent="0.3">
      <c r="A31" s="50">
        <v>4</v>
      </c>
      <c r="B31" s="55" t="s">
        <v>106</v>
      </c>
      <c r="C31" s="51" t="s">
        <v>70</v>
      </c>
      <c r="D31" s="56">
        <v>300</v>
      </c>
      <c r="E31" s="53"/>
      <c r="F31" s="53">
        <f t="shared" si="7"/>
        <v>0</v>
      </c>
      <c r="G31" s="59"/>
      <c r="I31" s="14"/>
      <c r="J31" s="14"/>
      <c r="M31" s="14"/>
      <c r="N31" s="14"/>
      <c r="P31" s="14"/>
    </row>
    <row r="32" spans="1:16" s="2" customFormat="1" ht="26.25" customHeight="1" x14ac:dyDescent="0.3">
      <c r="A32" s="50">
        <v>5</v>
      </c>
      <c r="B32" s="55" t="s">
        <v>107</v>
      </c>
      <c r="C32" s="51" t="s">
        <v>70</v>
      </c>
      <c r="D32" s="56">
        <v>200</v>
      </c>
      <c r="E32" s="53"/>
      <c r="F32" s="53">
        <f t="shared" si="7"/>
        <v>0</v>
      </c>
      <c r="G32" s="59"/>
      <c r="I32" s="14"/>
      <c r="J32" s="14"/>
      <c r="M32" s="14"/>
      <c r="N32" s="14"/>
      <c r="P32" s="14"/>
    </row>
    <row r="33" spans="1:15" s="2" customFormat="1" x14ac:dyDescent="0.3">
      <c r="A33" s="50">
        <v>6</v>
      </c>
      <c r="B33" s="55" t="s">
        <v>108</v>
      </c>
      <c r="C33" s="51" t="s">
        <v>66</v>
      </c>
      <c r="D33" s="56">
        <v>5</v>
      </c>
      <c r="E33" s="53"/>
      <c r="F33" s="53">
        <f t="shared" si="7"/>
        <v>0</v>
      </c>
      <c r="G33" s="54"/>
    </row>
    <row r="34" spans="1:15" s="2" customFormat="1" x14ac:dyDescent="0.3">
      <c r="A34" s="50">
        <v>7</v>
      </c>
      <c r="B34" s="55" t="s">
        <v>109</v>
      </c>
      <c r="C34" s="51" t="s">
        <v>66</v>
      </c>
      <c r="D34" s="56">
        <v>10</v>
      </c>
      <c r="E34" s="53"/>
      <c r="F34" s="53">
        <f t="shared" si="7"/>
        <v>0</v>
      </c>
      <c r="G34" s="54"/>
    </row>
    <row r="35" spans="1:15" s="2" customFormat="1" x14ac:dyDescent="0.3">
      <c r="A35" s="50">
        <v>8</v>
      </c>
      <c r="B35" s="55" t="s">
        <v>110</v>
      </c>
      <c r="C35" s="51" t="s">
        <v>66</v>
      </c>
      <c r="D35" s="56">
        <v>20</v>
      </c>
      <c r="E35" s="53"/>
      <c r="F35" s="53">
        <f t="shared" si="7"/>
        <v>0</v>
      </c>
      <c r="G35" s="54"/>
    </row>
    <row r="36" spans="1:15" s="2" customFormat="1" x14ac:dyDescent="0.3">
      <c r="A36" s="50">
        <v>9</v>
      </c>
      <c r="B36" s="55" t="s">
        <v>101</v>
      </c>
      <c r="C36" s="51" t="s">
        <v>66</v>
      </c>
      <c r="D36" s="56">
        <v>1</v>
      </c>
      <c r="E36" s="53"/>
      <c r="F36" s="53">
        <f t="shared" si="7"/>
        <v>0</v>
      </c>
      <c r="G36" s="54"/>
    </row>
    <row r="37" spans="1:15" s="2" customFormat="1" ht="26.4" x14ac:dyDescent="0.3">
      <c r="A37" s="50">
        <v>10</v>
      </c>
      <c r="B37" s="55" t="s">
        <v>111</v>
      </c>
      <c r="C37" s="51" t="s">
        <v>66</v>
      </c>
      <c r="D37" s="56">
        <v>10</v>
      </c>
      <c r="E37" s="53"/>
      <c r="F37" s="53">
        <f t="shared" si="7"/>
        <v>0</v>
      </c>
      <c r="G37" s="54"/>
      <c r="I37" s="14"/>
      <c r="J37" s="14"/>
      <c r="O37" s="14"/>
    </row>
    <row r="38" spans="1:15" s="2" customFormat="1" x14ac:dyDescent="0.3">
      <c r="A38" s="50">
        <v>11</v>
      </c>
      <c r="B38" s="55" t="s">
        <v>67</v>
      </c>
      <c r="C38" s="51" t="s">
        <v>7</v>
      </c>
      <c r="D38" s="52">
        <v>1</v>
      </c>
      <c r="E38" s="53"/>
      <c r="F38" s="53">
        <f t="shared" si="7"/>
        <v>0</v>
      </c>
      <c r="G38" s="54"/>
      <c r="I38" s="14"/>
      <c r="J38" s="14"/>
      <c r="O38" s="14"/>
    </row>
    <row r="39" spans="1:15" s="2" customFormat="1" x14ac:dyDescent="0.3">
      <c r="A39" s="50">
        <v>12</v>
      </c>
      <c r="B39" s="55" t="s">
        <v>89</v>
      </c>
      <c r="C39" s="51" t="s">
        <v>69</v>
      </c>
      <c r="D39" s="51">
        <v>1</v>
      </c>
      <c r="E39" s="53"/>
      <c r="F39" s="53">
        <f t="shared" si="7"/>
        <v>0</v>
      </c>
      <c r="G39" s="54"/>
    </row>
    <row r="40" spans="1:15" s="2" customFormat="1" x14ac:dyDescent="0.3">
      <c r="A40" s="60"/>
      <c r="B40" s="61"/>
      <c r="C40" s="62"/>
      <c r="D40" s="62"/>
      <c r="E40" s="63"/>
      <c r="F40" s="53">
        <f t="shared" si="7"/>
        <v>0</v>
      </c>
      <c r="G40" s="64"/>
    </row>
    <row r="41" spans="1:15" ht="15" thickBot="1" x14ac:dyDescent="0.35">
      <c r="A41" s="70"/>
      <c r="B41" s="91" t="s">
        <v>9</v>
      </c>
      <c r="C41" s="71"/>
      <c r="D41" s="71"/>
      <c r="E41" s="72"/>
      <c r="F41" s="86">
        <f>SUM(F28:F40)</f>
        <v>0</v>
      </c>
      <c r="G41" s="73"/>
    </row>
    <row r="42" spans="1:15" s="2" customFormat="1" ht="15" thickBot="1" x14ac:dyDescent="0.35">
      <c r="A42" s="4"/>
      <c r="B42" s="4"/>
      <c r="C42" s="4"/>
      <c r="D42" s="4"/>
      <c r="E42" s="48"/>
      <c r="F42" s="49"/>
      <c r="G42" s="4"/>
    </row>
    <row r="43" spans="1:15" ht="23.25" customHeight="1" thickBot="1" x14ac:dyDescent="0.45">
      <c r="A43" s="92" t="s">
        <v>90</v>
      </c>
      <c r="B43" s="93"/>
      <c r="C43" s="93"/>
      <c r="D43" s="93"/>
      <c r="E43" s="94"/>
      <c r="F43" s="57">
        <f>F14+F26+F41</f>
        <v>0</v>
      </c>
      <c r="G43" s="58"/>
    </row>
    <row r="45" spans="1:15" x14ac:dyDescent="0.3">
      <c r="F45" s="1"/>
      <c r="G45" s="1"/>
    </row>
    <row r="46" spans="1:15" x14ac:dyDescent="0.3">
      <c r="F46" s="1"/>
      <c r="G46" s="1"/>
    </row>
  </sheetData>
  <mergeCells count="4">
    <mergeCell ref="A43:E43"/>
    <mergeCell ref="A1:G1"/>
    <mergeCell ref="A2:G2"/>
    <mergeCell ref="A3:G3"/>
  </mergeCells>
  <printOptions horizontalCentered="1" verticalCentered="1"/>
  <pageMargins left="0.7" right="0.7" top="0.75" bottom="0.75" header="0.3" footer="0.3"/>
  <pageSetup paperSize="9"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zoomScale="80" zoomScaleNormal="80" workbookViewId="0">
      <selection activeCell="Q6" sqref="Q6"/>
    </sheetView>
  </sheetViews>
  <sheetFormatPr defaultRowHeight="14.4" x14ac:dyDescent="0.3"/>
  <cols>
    <col min="1" max="1" width="24.109375" style="1" bestFit="1" customWidth="1"/>
    <col min="2" max="2" width="18.109375" style="1" bestFit="1" customWidth="1"/>
    <col min="3" max="3" width="10.88671875" style="1" customWidth="1"/>
    <col min="4" max="6" width="8.88671875" style="1"/>
    <col min="7" max="7" width="3.88671875" style="1" customWidth="1"/>
    <col min="8" max="8" width="8.88671875" style="1"/>
    <col min="9" max="9" width="10" customWidth="1"/>
    <col min="10" max="10" width="3.88671875" style="1" customWidth="1"/>
    <col min="11" max="11" width="8.88671875" style="1"/>
    <col min="12" max="12" width="10" customWidth="1"/>
    <col min="13" max="13" width="4.88671875" customWidth="1"/>
    <col min="14" max="14" width="7.44140625" style="2" customWidth="1"/>
    <col min="15" max="15" width="13.88671875" customWidth="1"/>
    <col min="16" max="16" width="17" customWidth="1"/>
    <col min="17" max="17" width="14.88671875" customWidth="1"/>
    <col min="18" max="18" width="16.44140625" bestFit="1" customWidth="1"/>
    <col min="19" max="19" width="16.88671875" bestFit="1" customWidth="1"/>
    <col min="20" max="20" width="12.109375" bestFit="1" customWidth="1"/>
  </cols>
  <sheetData>
    <row r="1" spans="1:19" s="2" customFormat="1" x14ac:dyDescent="0.3">
      <c r="A1" s="7"/>
      <c r="B1" s="7"/>
      <c r="C1" s="7"/>
      <c r="D1" s="7"/>
      <c r="E1" s="7"/>
      <c r="F1" s="7"/>
      <c r="G1" s="7"/>
      <c r="H1" s="7"/>
      <c r="J1" s="7"/>
      <c r="K1" s="7"/>
    </row>
    <row r="2" spans="1:19" s="14" customFormat="1" x14ac:dyDescent="0.3">
      <c r="A2" s="105" t="s">
        <v>10</v>
      </c>
      <c r="B2" s="105"/>
      <c r="C2" s="30" t="s">
        <v>11</v>
      </c>
      <c r="D2" s="30" t="s">
        <v>12</v>
      </c>
      <c r="E2" s="30" t="s">
        <v>13</v>
      </c>
      <c r="F2" s="30" t="s">
        <v>14</v>
      </c>
      <c r="G2" s="13"/>
      <c r="H2" s="105" t="s">
        <v>15</v>
      </c>
      <c r="I2" s="105"/>
      <c r="J2" s="13"/>
      <c r="K2" s="105" t="s">
        <v>16</v>
      </c>
      <c r="L2" s="105"/>
      <c r="N2" s="2"/>
    </row>
    <row r="3" spans="1:19" s="2" customFormat="1" x14ac:dyDescent="0.3">
      <c r="A3" s="7"/>
      <c r="B3" s="7"/>
      <c r="C3" s="7"/>
      <c r="D3" s="7"/>
      <c r="E3" s="7"/>
      <c r="F3" s="7"/>
      <c r="G3" s="7"/>
      <c r="H3" s="7"/>
      <c r="J3" s="7"/>
      <c r="K3" s="7"/>
    </row>
    <row r="4" spans="1:19" s="2" customFormat="1" x14ac:dyDescent="0.3">
      <c r="A4" s="102" t="s">
        <v>17</v>
      </c>
      <c r="B4" s="9" t="s">
        <v>18</v>
      </c>
      <c r="C4" s="9">
        <f>0.2+0.8+0.2</f>
        <v>1.2</v>
      </c>
      <c r="D4" s="9">
        <f>0.2+14+0.2</f>
        <v>14.399999999999999</v>
      </c>
      <c r="E4" s="9">
        <v>0.55000000000000004</v>
      </c>
      <c r="F4" s="9">
        <v>2</v>
      </c>
      <c r="G4" s="7"/>
      <c r="H4" s="7"/>
      <c r="I4" s="10"/>
      <c r="J4" s="7"/>
      <c r="K4" s="6">
        <f>C4*D4*E4*F4</f>
        <v>19.007999999999999</v>
      </c>
      <c r="L4" s="104">
        <f>K4+K5</f>
        <v>26.135999999999999</v>
      </c>
    </row>
    <row r="5" spans="1:19" s="2" customFormat="1" x14ac:dyDescent="0.3">
      <c r="A5" s="103"/>
      <c r="B5" s="9" t="s">
        <v>19</v>
      </c>
      <c r="C5" s="9">
        <f>0.2+0.8+0.2</f>
        <v>1.2</v>
      </c>
      <c r="D5" s="9">
        <f>3.5-0.8</f>
        <v>2.7</v>
      </c>
      <c r="E5" s="9">
        <v>0.55000000000000004</v>
      </c>
      <c r="F5" s="9">
        <v>4</v>
      </c>
      <c r="G5" s="7"/>
      <c r="H5" s="15"/>
      <c r="I5" s="10"/>
      <c r="J5" s="7"/>
      <c r="K5" s="6">
        <f>C5*D5*E5*F5</f>
        <v>7.128000000000001</v>
      </c>
      <c r="L5" s="104"/>
    </row>
    <row r="6" spans="1:19" s="2" customFormat="1" x14ac:dyDescent="0.3">
      <c r="A6" s="102" t="s">
        <v>20</v>
      </c>
      <c r="B6" s="9" t="s">
        <v>18</v>
      </c>
      <c r="C6" s="9">
        <f>0.2+0.8+0.2</f>
        <v>1.2</v>
      </c>
      <c r="D6" s="9">
        <f>0.2+14+0.2</f>
        <v>14.399999999999999</v>
      </c>
      <c r="E6" s="9"/>
      <c r="F6" s="9">
        <v>2</v>
      </c>
      <c r="G6" s="7"/>
      <c r="H6" s="6">
        <f>C6*D6*F6</f>
        <v>34.559999999999995</v>
      </c>
      <c r="I6" s="104">
        <f>H6+H7</f>
        <v>47.519999999999996</v>
      </c>
      <c r="J6" s="7"/>
      <c r="K6" s="16"/>
      <c r="L6" s="17"/>
    </row>
    <row r="7" spans="1:19" s="2" customFormat="1" x14ac:dyDescent="0.3">
      <c r="A7" s="103"/>
      <c r="B7" s="9" t="s">
        <v>19</v>
      </c>
      <c r="C7" s="9">
        <f>0.2+0.8+0.2</f>
        <v>1.2</v>
      </c>
      <c r="D7" s="9">
        <f>3.5-0.8</f>
        <v>2.7</v>
      </c>
      <c r="E7" s="9"/>
      <c r="F7" s="9">
        <v>4</v>
      </c>
      <c r="G7" s="7"/>
      <c r="H7" s="6">
        <f>C7*D7*F7</f>
        <v>12.96</v>
      </c>
      <c r="I7" s="104"/>
      <c r="J7" s="7"/>
      <c r="K7" s="16"/>
      <c r="L7" s="17"/>
    </row>
    <row r="8" spans="1:19" s="2" customFormat="1" x14ac:dyDescent="0.3">
      <c r="A8" s="7"/>
      <c r="B8" s="7"/>
      <c r="C8" s="7"/>
      <c r="D8" s="7"/>
      <c r="E8" s="7"/>
      <c r="F8" s="7"/>
      <c r="G8" s="7"/>
      <c r="H8" s="7"/>
      <c r="J8" s="7"/>
      <c r="K8" s="7"/>
    </row>
    <row r="9" spans="1:19" s="2" customFormat="1" x14ac:dyDescent="0.3">
      <c r="A9" s="28" t="s">
        <v>21</v>
      </c>
      <c r="B9" s="8">
        <f>(C15*D15*0.5*F15)+(C16*D16*0.5*F16)</f>
        <v>15.920000000000002</v>
      </c>
      <c r="C9" s="9"/>
      <c r="D9" s="9"/>
      <c r="E9" s="9"/>
      <c r="F9" s="9"/>
      <c r="G9" s="7"/>
      <c r="H9" s="7"/>
      <c r="I9" s="10"/>
      <c r="J9" s="7"/>
      <c r="K9" s="6"/>
      <c r="L9" s="29">
        <f>L4-(L11+B9)</f>
        <v>8.6239999999999988</v>
      </c>
      <c r="M9" s="11"/>
    </row>
    <row r="10" spans="1:19" s="2" customFormat="1" x14ac:dyDescent="0.3">
      <c r="A10" s="7"/>
      <c r="B10" s="7"/>
      <c r="C10" s="7"/>
      <c r="D10" s="7"/>
      <c r="E10" s="7"/>
      <c r="F10" s="7"/>
      <c r="G10" s="7"/>
      <c r="H10" s="7"/>
      <c r="J10" s="7"/>
      <c r="K10" s="16"/>
      <c r="L10" s="11"/>
      <c r="O10" s="35" t="s">
        <v>22</v>
      </c>
    </row>
    <row r="11" spans="1:19" s="2" customFormat="1" x14ac:dyDescent="0.3">
      <c r="A11" s="106" t="s">
        <v>23</v>
      </c>
      <c r="B11" s="9" t="s">
        <v>18</v>
      </c>
      <c r="C11" s="6">
        <f>0.8</f>
        <v>0.8</v>
      </c>
      <c r="D11" s="6">
        <f>13.9</f>
        <v>13.9</v>
      </c>
      <c r="E11" s="9">
        <v>0.05</v>
      </c>
      <c r="F11" s="9">
        <v>2</v>
      </c>
      <c r="G11" s="7"/>
      <c r="H11" s="7"/>
      <c r="I11" s="12"/>
      <c r="J11" s="7"/>
      <c r="K11" s="6">
        <f>C11*D11*E11*F11</f>
        <v>1.1120000000000001</v>
      </c>
      <c r="L11" s="104">
        <f>K11+K12</f>
        <v>1.5920000000000001</v>
      </c>
      <c r="O11" s="2" t="s">
        <v>24</v>
      </c>
      <c r="P11" s="39" t="s">
        <v>25</v>
      </c>
      <c r="Q11" s="21" t="s">
        <v>26</v>
      </c>
      <c r="R11" s="39" t="s">
        <v>27</v>
      </c>
      <c r="S11" s="39" t="s">
        <v>28</v>
      </c>
    </row>
    <row r="12" spans="1:19" s="2" customFormat="1" x14ac:dyDescent="0.3">
      <c r="A12" s="107"/>
      <c r="B12" s="9" t="s">
        <v>19</v>
      </c>
      <c r="C12" s="6">
        <f>0.8</f>
        <v>0.8</v>
      </c>
      <c r="D12" s="6">
        <v>3</v>
      </c>
      <c r="E12" s="9">
        <v>0.05</v>
      </c>
      <c r="F12" s="9">
        <v>4</v>
      </c>
      <c r="G12" s="7"/>
      <c r="H12" s="15"/>
      <c r="I12" s="10"/>
      <c r="J12" s="7"/>
      <c r="K12" s="6">
        <f>C12*D12*E12*F12</f>
        <v>0.48000000000000009</v>
      </c>
      <c r="L12" s="104"/>
      <c r="O12" s="15">
        <f>(1/10*1.52)*L11</f>
        <v>0.24198400000000006</v>
      </c>
      <c r="P12" s="37">
        <f>O12/0.035</f>
        <v>6.9138285714285725</v>
      </c>
      <c r="Q12" s="26">
        <f>P12*50</f>
        <v>345.69142857142862</v>
      </c>
      <c r="R12" s="37">
        <f>(3/10*1.52)*L11</f>
        <v>0.72595199999999993</v>
      </c>
      <c r="S12" s="37">
        <f>(6/10*1.52)*L11</f>
        <v>1.4519039999999999</v>
      </c>
    </row>
    <row r="13" spans="1:19" s="2" customFormat="1" x14ac:dyDescent="0.3">
      <c r="A13" s="46"/>
      <c r="B13" s="7"/>
      <c r="C13" s="16"/>
      <c r="D13" s="16"/>
      <c r="E13" s="7"/>
      <c r="F13" s="7"/>
      <c r="G13" s="7"/>
      <c r="H13" s="15"/>
      <c r="I13" s="10"/>
      <c r="J13" s="7"/>
      <c r="K13" s="16"/>
      <c r="L13" s="34"/>
      <c r="O13" s="15"/>
      <c r="P13" s="43"/>
      <c r="Q13" s="26"/>
      <c r="R13" s="43"/>
      <c r="S13" s="43"/>
    </row>
    <row r="14" spans="1:19" s="2" customFormat="1" x14ac:dyDescent="0.3">
      <c r="A14" s="7"/>
      <c r="B14" s="7"/>
      <c r="C14" s="7"/>
      <c r="D14" s="7"/>
      <c r="E14" s="7"/>
      <c r="F14" s="7"/>
      <c r="G14" s="7"/>
      <c r="H14" s="7"/>
      <c r="J14" s="7"/>
      <c r="K14" s="16"/>
      <c r="L14" s="11"/>
      <c r="N14"/>
      <c r="O14" s="40" t="s">
        <v>29</v>
      </c>
      <c r="P14"/>
      <c r="Q14"/>
      <c r="R14"/>
    </row>
    <row r="15" spans="1:19" s="2" customFormat="1" x14ac:dyDescent="0.3">
      <c r="A15" s="108" t="s">
        <v>30</v>
      </c>
      <c r="B15" s="9" t="s">
        <v>18</v>
      </c>
      <c r="C15" s="6">
        <v>0.8</v>
      </c>
      <c r="D15" s="6">
        <v>13.9</v>
      </c>
      <c r="E15" s="9">
        <f>0.5+0.6</f>
        <v>1.1000000000000001</v>
      </c>
      <c r="F15" s="9">
        <v>2</v>
      </c>
      <c r="G15" s="7"/>
      <c r="H15" s="7"/>
      <c r="I15" s="10"/>
      <c r="J15" s="7"/>
      <c r="K15" s="6">
        <f>C15*D15*E15*F15</f>
        <v>24.464000000000006</v>
      </c>
      <c r="L15" s="104">
        <f>K15+K16</f>
        <v>35.024000000000008</v>
      </c>
      <c r="N15"/>
      <c r="O15" s="2" t="s">
        <v>24</v>
      </c>
      <c r="P15" s="44" t="s">
        <v>25</v>
      </c>
      <c r="Q15" s="21" t="s">
        <v>26</v>
      </c>
      <c r="R15" s="44" t="s">
        <v>27</v>
      </c>
    </row>
    <row r="16" spans="1:19" s="2" customFormat="1" x14ac:dyDescent="0.3">
      <c r="A16" s="108"/>
      <c r="B16" s="9" t="s">
        <v>19</v>
      </c>
      <c r="C16" s="6">
        <v>0.8</v>
      </c>
      <c r="D16" s="6">
        <v>3</v>
      </c>
      <c r="E16" s="9">
        <f>0.5+0.6</f>
        <v>1.1000000000000001</v>
      </c>
      <c r="F16" s="9">
        <v>4</v>
      </c>
      <c r="G16" s="7"/>
      <c r="H16" s="15"/>
      <c r="I16" s="10"/>
      <c r="J16" s="7"/>
      <c r="K16" s="6">
        <f>C16*D16*E16*F16</f>
        <v>10.560000000000002</v>
      </c>
      <c r="L16" s="104"/>
      <c r="N16" s="41">
        <f>L15</f>
        <v>35.024000000000008</v>
      </c>
      <c r="O16" s="15">
        <f>0.35*(1/7*1.33)*N16</f>
        <v>2.3290960000000003</v>
      </c>
      <c r="P16" s="45">
        <f>O16/0.035</f>
        <v>66.545600000000007</v>
      </c>
      <c r="Q16" s="26">
        <f>P16*50</f>
        <v>3327.28</v>
      </c>
      <c r="R16" s="45">
        <f>0.35*(6/7*1.33)*N16</f>
        <v>13.974576000000003</v>
      </c>
    </row>
    <row r="17" spans="1:20" s="2" customFormat="1" x14ac:dyDescent="0.3">
      <c r="A17" s="33"/>
      <c r="B17" s="7"/>
      <c r="C17" s="16"/>
      <c r="D17" s="16"/>
      <c r="E17" s="7"/>
      <c r="F17" s="7"/>
      <c r="G17" s="7"/>
      <c r="H17" s="15"/>
      <c r="I17" s="10"/>
      <c r="J17" s="7"/>
      <c r="K17" s="16"/>
      <c r="L17" s="34"/>
      <c r="N17" s="47"/>
      <c r="O17" s="15"/>
      <c r="P17" s="43"/>
      <c r="Q17" s="26"/>
      <c r="R17" s="43"/>
    </row>
    <row r="18" spans="1:20" s="3" customFormat="1" x14ac:dyDescent="0.3">
      <c r="A18" s="5"/>
      <c r="B18" s="5"/>
      <c r="C18" s="5"/>
      <c r="D18" s="5"/>
      <c r="E18" s="5"/>
      <c r="F18" s="5"/>
      <c r="G18" s="5"/>
      <c r="H18" s="5"/>
      <c r="J18" s="5"/>
      <c r="K18" s="5"/>
      <c r="N18" s="2"/>
      <c r="Q18" s="40" t="s">
        <v>31</v>
      </c>
      <c r="R18"/>
      <c r="S18"/>
      <c r="T18"/>
    </row>
    <row r="19" spans="1:20" s="2" customFormat="1" x14ac:dyDescent="0.3">
      <c r="A19" s="109" t="s">
        <v>32</v>
      </c>
      <c r="B19" s="9" t="s">
        <v>18</v>
      </c>
      <c r="C19" s="8">
        <f t="shared" ref="C19:C25" si="0">3-1.45-1.2</f>
        <v>0.35000000000000009</v>
      </c>
      <c r="D19" s="6">
        <v>13.5</v>
      </c>
      <c r="E19" s="9">
        <f>2.5+0.6</f>
        <v>3.1</v>
      </c>
      <c r="F19" s="9">
        <v>2</v>
      </c>
      <c r="G19" s="7"/>
      <c r="H19" s="7"/>
      <c r="I19" s="10"/>
      <c r="J19" s="7"/>
      <c r="K19" s="6">
        <f t="shared" ref="K19:K25" si="1">C19*D19*E19*F19</f>
        <v>29.295000000000009</v>
      </c>
      <c r="L19" s="104">
        <f>(K19+K20+K21+K22)-K23-K24-K25</f>
        <v>39.616500000000002</v>
      </c>
      <c r="O19" s="2" t="s">
        <v>33</v>
      </c>
      <c r="P19" s="31" t="s">
        <v>34</v>
      </c>
      <c r="Q19" s="2" t="s">
        <v>24</v>
      </c>
      <c r="R19" s="31" t="s">
        <v>25</v>
      </c>
      <c r="S19" s="21" t="s">
        <v>26</v>
      </c>
      <c r="T19" s="31" t="s">
        <v>27</v>
      </c>
    </row>
    <row r="20" spans="1:20" s="2" customFormat="1" x14ac:dyDescent="0.3">
      <c r="A20" s="109"/>
      <c r="B20" s="9" t="s">
        <v>35</v>
      </c>
      <c r="C20" s="8">
        <f t="shared" si="0"/>
        <v>0.35000000000000009</v>
      </c>
      <c r="D20" s="6">
        <v>3.3</v>
      </c>
      <c r="E20" s="9">
        <f>2.5+0.6</f>
        <v>3.1</v>
      </c>
      <c r="F20" s="9">
        <v>2</v>
      </c>
      <c r="G20" s="7"/>
      <c r="H20" s="15"/>
      <c r="I20" s="10"/>
      <c r="J20" s="7"/>
      <c r="K20" s="6">
        <f t="shared" si="1"/>
        <v>7.1610000000000014</v>
      </c>
      <c r="L20" s="104"/>
      <c r="O20" s="25">
        <f>(0.22+0.02)*(0.11+0.02)*(0.06+0.02)</f>
        <v>2.496E-3</v>
      </c>
      <c r="P20" s="32">
        <f>L19/O20</f>
        <v>15871.995192307693</v>
      </c>
      <c r="Q20" s="15">
        <f>0.175*(1/7*1.33)*L19</f>
        <v>1.317248625</v>
      </c>
      <c r="R20" s="42">
        <f>Q20/0.035</f>
        <v>37.635674999999992</v>
      </c>
      <c r="S20" s="26">
        <f>R20*50</f>
        <v>1881.7837499999996</v>
      </c>
      <c r="T20" s="42">
        <f>0.175*(6/7*1.33)*L19</f>
        <v>7.9034917499999997</v>
      </c>
    </row>
    <row r="21" spans="1:20" s="2" customFormat="1" x14ac:dyDescent="0.3">
      <c r="A21" s="109"/>
      <c r="B21" s="9" t="s">
        <v>36</v>
      </c>
      <c r="C21" s="8">
        <f t="shared" si="0"/>
        <v>0.35000000000000009</v>
      </c>
      <c r="D21" s="6">
        <f>3.3</f>
        <v>3.3</v>
      </c>
      <c r="E21" s="9">
        <v>2.5</v>
      </c>
      <c r="F21" s="9">
        <v>2</v>
      </c>
      <c r="G21" s="7"/>
      <c r="H21" s="15"/>
      <c r="I21" s="10"/>
      <c r="J21" s="7"/>
      <c r="K21" s="6">
        <f t="shared" si="1"/>
        <v>5.7750000000000012</v>
      </c>
      <c r="L21" s="104"/>
    </row>
    <row r="22" spans="1:20" s="2" customFormat="1" x14ac:dyDescent="0.3">
      <c r="A22" s="109"/>
      <c r="B22" s="9" t="s">
        <v>37</v>
      </c>
      <c r="C22" s="8">
        <f t="shared" si="0"/>
        <v>0.35000000000000009</v>
      </c>
      <c r="D22" s="6">
        <v>1.5</v>
      </c>
      <c r="E22" s="9">
        <v>2.5</v>
      </c>
      <c r="F22" s="9">
        <v>1</v>
      </c>
      <c r="G22" s="7"/>
      <c r="H22" s="15"/>
      <c r="I22" s="10"/>
      <c r="J22" s="7"/>
      <c r="K22" s="6">
        <f t="shared" si="1"/>
        <v>1.3125000000000004</v>
      </c>
      <c r="L22" s="104"/>
    </row>
    <row r="23" spans="1:20" s="2" customFormat="1" x14ac:dyDescent="0.3">
      <c r="A23" s="109"/>
      <c r="B23" s="9" t="s">
        <v>38</v>
      </c>
      <c r="C23" s="8">
        <f t="shared" si="0"/>
        <v>0.35000000000000009</v>
      </c>
      <c r="D23" s="6">
        <v>1</v>
      </c>
      <c r="E23" s="6">
        <v>2</v>
      </c>
      <c r="F23" s="9">
        <v>3</v>
      </c>
      <c r="G23" s="7"/>
      <c r="H23" s="15"/>
      <c r="I23" s="10"/>
      <c r="J23" s="7"/>
      <c r="K23" s="6">
        <f t="shared" si="1"/>
        <v>2.1000000000000005</v>
      </c>
      <c r="L23" s="104"/>
      <c r="O23" s="25"/>
      <c r="P23" s="27"/>
    </row>
    <row r="24" spans="1:20" s="2" customFormat="1" x14ac:dyDescent="0.3">
      <c r="A24" s="109"/>
      <c r="B24" s="9" t="s">
        <v>39</v>
      </c>
      <c r="C24" s="8">
        <f t="shared" si="0"/>
        <v>0.35000000000000009</v>
      </c>
      <c r="D24" s="6">
        <v>1.5</v>
      </c>
      <c r="E24" s="6">
        <v>1.5</v>
      </c>
      <c r="F24" s="9">
        <v>2</v>
      </c>
      <c r="G24" s="7"/>
      <c r="H24" s="15"/>
      <c r="I24" s="10"/>
      <c r="J24" s="7"/>
      <c r="K24" s="6">
        <f t="shared" si="1"/>
        <v>1.5750000000000004</v>
      </c>
      <c r="L24" s="104"/>
      <c r="O24" s="25"/>
      <c r="P24" s="27"/>
    </row>
    <row r="25" spans="1:20" s="2" customFormat="1" x14ac:dyDescent="0.3">
      <c r="A25" s="109"/>
      <c r="B25" s="9" t="s">
        <v>39</v>
      </c>
      <c r="C25" s="8">
        <f t="shared" si="0"/>
        <v>0.35000000000000009</v>
      </c>
      <c r="D25" s="6">
        <v>0.9</v>
      </c>
      <c r="E25" s="6">
        <v>0.8</v>
      </c>
      <c r="F25" s="9">
        <v>1</v>
      </c>
      <c r="G25" s="7"/>
      <c r="H25" s="15"/>
      <c r="I25" s="10"/>
      <c r="J25" s="7"/>
      <c r="K25" s="6">
        <f t="shared" si="1"/>
        <v>0.25200000000000011</v>
      </c>
      <c r="L25" s="104"/>
      <c r="O25" s="25"/>
      <c r="P25" s="27"/>
    </row>
    <row r="26" spans="1:20" s="3" customFormat="1" x14ac:dyDescent="0.3">
      <c r="A26" s="5"/>
      <c r="B26" s="5"/>
      <c r="C26" s="5"/>
      <c r="D26" s="5"/>
      <c r="E26" s="5"/>
      <c r="F26" s="5"/>
      <c r="G26" s="5"/>
      <c r="H26" s="5"/>
      <c r="J26" s="5"/>
      <c r="K26" s="5"/>
      <c r="N26" s="2"/>
    </row>
    <row r="27" spans="1:20" s="22" customFormat="1" ht="28.8" x14ac:dyDescent="0.3">
      <c r="A27" s="28" t="s">
        <v>40</v>
      </c>
      <c r="B27" s="18" t="s">
        <v>41</v>
      </c>
      <c r="C27" s="19">
        <v>0.02</v>
      </c>
      <c r="D27" s="20">
        <f>(13.5*2)+(4*2)</f>
        <v>35</v>
      </c>
      <c r="E27" s="18">
        <f>2.5+0.6</f>
        <v>3.1</v>
      </c>
      <c r="F27" s="18"/>
      <c r="G27" s="21"/>
      <c r="H27" s="20">
        <f>D27*E27</f>
        <v>108.5</v>
      </c>
      <c r="I27" s="29">
        <f>H27</f>
        <v>108.5</v>
      </c>
      <c r="J27" s="21"/>
      <c r="N27" s="2"/>
    </row>
    <row r="28" spans="1:20" s="2" customFormat="1" x14ac:dyDescent="0.3">
      <c r="A28" s="7"/>
      <c r="B28" s="7"/>
      <c r="C28" s="7"/>
      <c r="D28" s="7"/>
      <c r="E28" s="7"/>
      <c r="F28" s="7"/>
      <c r="G28" s="7"/>
      <c r="H28" s="7"/>
      <c r="J28" s="7"/>
    </row>
    <row r="29" spans="1:20" s="2" customFormat="1" x14ac:dyDescent="0.3">
      <c r="A29" s="110" t="s">
        <v>42</v>
      </c>
      <c r="B29" s="9" t="s">
        <v>43</v>
      </c>
      <c r="C29" s="8">
        <v>0.03</v>
      </c>
      <c r="D29" s="6">
        <f>(5*2)+(3*2)</f>
        <v>16</v>
      </c>
      <c r="E29" s="9">
        <v>2.7</v>
      </c>
      <c r="F29" s="9"/>
      <c r="G29" s="7"/>
      <c r="H29" s="6">
        <f>D29*E29</f>
        <v>43.2</v>
      </c>
      <c r="I29" s="104">
        <f>H29+H30+H31+H32</f>
        <v>122.31</v>
      </c>
      <c r="J29" s="7"/>
    </row>
    <row r="30" spans="1:20" s="2" customFormat="1" x14ac:dyDescent="0.3">
      <c r="A30" s="111"/>
      <c r="B30" s="9" t="s">
        <v>44</v>
      </c>
      <c r="C30" s="8">
        <v>0.03</v>
      </c>
      <c r="D30" s="6">
        <f>(4*2)+(3*2)</f>
        <v>14</v>
      </c>
      <c r="E30" s="9">
        <v>2.7</v>
      </c>
      <c r="F30" s="9"/>
      <c r="G30" s="7"/>
      <c r="H30" s="6">
        <f>D30*E30</f>
        <v>37.800000000000004</v>
      </c>
      <c r="I30" s="104"/>
      <c r="J30" s="7"/>
      <c r="M30" s="22"/>
      <c r="O30" s="22"/>
      <c r="P30" s="22"/>
    </row>
    <row r="31" spans="1:20" s="2" customFormat="1" x14ac:dyDescent="0.3">
      <c r="A31" s="111"/>
      <c r="B31" s="9" t="s">
        <v>45</v>
      </c>
      <c r="C31" s="8">
        <v>0.03</v>
      </c>
      <c r="D31" s="6">
        <f>(2.5*2)+(1.45*2)</f>
        <v>7.9</v>
      </c>
      <c r="E31" s="9">
        <v>2.7</v>
      </c>
      <c r="F31" s="9"/>
      <c r="G31" s="7"/>
      <c r="H31" s="6">
        <f>D31*E31</f>
        <v>21.330000000000002</v>
      </c>
      <c r="I31" s="104"/>
      <c r="J31" s="7"/>
    </row>
    <row r="32" spans="1:20" s="2" customFormat="1" x14ac:dyDescent="0.3">
      <c r="A32" s="112"/>
      <c r="B32" s="9" t="s">
        <v>46</v>
      </c>
      <c r="C32" s="8">
        <v>0.03</v>
      </c>
      <c r="D32" s="6">
        <f>(2.5*2)+(1.2*2)</f>
        <v>7.4</v>
      </c>
      <c r="E32" s="9">
        <v>2.7</v>
      </c>
      <c r="F32" s="9"/>
      <c r="G32" s="7"/>
      <c r="H32" s="6">
        <f>D32*E32</f>
        <v>19.980000000000004</v>
      </c>
      <c r="I32" s="104"/>
      <c r="J32" s="7"/>
    </row>
    <row r="33" spans="1:19" s="2" customFormat="1" x14ac:dyDescent="0.3">
      <c r="A33" s="7"/>
      <c r="B33" s="7"/>
      <c r="C33" s="7"/>
      <c r="D33" s="7"/>
      <c r="E33" s="7"/>
      <c r="F33" s="7"/>
      <c r="G33" s="7"/>
      <c r="H33" s="7"/>
      <c r="J33" s="7"/>
      <c r="K33" s="7"/>
      <c r="O33" s="35" t="s">
        <v>22</v>
      </c>
    </row>
    <row r="34" spans="1:19" s="2" customFormat="1" x14ac:dyDescent="0.3">
      <c r="A34" s="28" t="s">
        <v>47</v>
      </c>
      <c r="B34" s="9"/>
      <c r="C34" s="6">
        <v>4</v>
      </c>
      <c r="D34" s="6">
        <v>13.5</v>
      </c>
      <c r="E34" s="9"/>
      <c r="F34" s="9">
        <v>1</v>
      </c>
      <c r="G34" s="7"/>
      <c r="H34" s="6">
        <f>C34*D34*F34</f>
        <v>54</v>
      </c>
      <c r="I34" s="29">
        <f>H34</f>
        <v>54</v>
      </c>
      <c r="J34" s="7"/>
      <c r="K34" s="7"/>
      <c r="O34" s="2" t="s">
        <v>24</v>
      </c>
      <c r="P34" s="39" t="s">
        <v>25</v>
      </c>
      <c r="Q34" s="21" t="s">
        <v>26</v>
      </c>
      <c r="R34" s="39" t="s">
        <v>27</v>
      </c>
      <c r="S34" s="39" t="s">
        <v>28</v>
      </c>
    </row>
    <row r="35" spans="1:19" s="2" customFormat="1" x14ac:dyDescent="0.3">
      <c r="A35" s="38" t="s">
        <v>48</v>
      </c>
      <c r="B35" s="9"/>
      <c r="C35" s="6">
        <v>4</v>
      </c>
      <c r="D35" s="6">
        <v>13.5</v>
      </c>
      <c r="E35" s="9">
        <v>0.05</v>
      </c>
      <c r="F35" s="9">
        <v>1</v>
      </c>
      <c r="G35" s="7"/>
      <c r="H35" s="7"/>
      <c r="I35" s="12"/>
      <c r="J35" s="7"/>
      <c r="K35" s="6">
        <f>C35*D35*E35*F35</f>
        <v>2.7</v>
      </c>
      <c r="L35" s="29">
        <f>K35</f>
        <v>2.7</v>
      </c>
      <c r="O35" s="15">
        <f>(1/10*1.52)*L35</f>
        <v>0.4104000000000001</v>
      </c>
      <c r="P35" s="37">
        <f>O35/0.035</f>
        <v>11.725714285714288</v>
      </c>
      <c r="Q35" s="26">
        <f>P35*50</f>
        <v>586.28571428571433</v>
      </c>
      <c r="R35" s="37">
        <f>(3/10*1.52)*L35</f>
        <v>1.2312000000000001</v>
      </c>
      <c r="S35" s="37">
        <f>(6/10*1.52)*L35</f>
        <v>2.4624000000000001</v>
      </c>
    </row>
    <row r="36" spans="1:19" s="2" customFormat="1" x14ac:dyDescent="0.3">
      <c r="A36" s="7"/>
      <c r="B36" s="7"/>
      <c r="C36" s="7"/>
      <c r="D36" s="7"/>
      <c r="E36" s="7"/>
      <c r="F36" s="7"/>
      <c r="G36" s="7"/>
      <c r="H36" s="7"/>
      <c r="J36" s="7"/>
      <c r="K36" s="7"/>
    </row>
    <row r="37" spans="1:19" s="2" customFormat="1" x14ac:dyDescent="0.3">
      <c r="A37" s="28" t="s">
        <v>49</v>
      </c>
      <c r="B37" s="9"/>
      <c r="C37" s="6">
        <v>3.7</v>
      </c>
      <c r="D37" s="6">
        <f>12.1</f>
        <v>12.1</v>
      </c>
      <c r="E37" s="9"/>
      <c r="F37" s="9">
        <v>1</v>
      </c>
      <c r="G37" s="7"/>
      <c r="H37" s="6">
        <f>C37*D37*F37</f>
        <v>44.77</v>
      </c>
      <c r="I37" s="29">
        <f>H37</f>
        <v>44.77</v>
      </c>
      <c r="J37" s="7"/>
      <c r="K37" s="7"/>
    </row>
    <row r="38" spans="1:19" s="2" customFormat="1" x14ac:dyDescent="0.3">
      <c r="A38" s="28" t="s">
        <v>50</v>
      </c>
      <c r="B38" s="9"/>
      <c r="C38" s="6">
        <v>3.7</v>
      </c>
      <c r="D38" s="6">
        <v>12.1</v>
      </c>
      <c r="E38" s="9">
        <v>0.2</v>
      </c>
      <c r="F38" s="9">
        <v>1</v>
      </c>
      <c r="G38" s="7"/>
      <c r="H38" s="7"/>
      <c r="J38" s="7"/>
      <c r="K38" s="6">
        <f>C38*D38*E38*F38</f>
        <v>8.9540000000000006</v>
      </c>
      <c r="L38" s="29">
        <f>K38</f>
        <v>8.9540000000000006</v>
      </c>
    </row>
    <row r="39" spans="1:19" s="2" customFormat="1" x14ac:dyDescent="0.3">
      <c r="A39" s="28" t="s">
        <v>51</v>
      </c>
      <c r="B39" s="9"/>
      <c r="C39" s="6">
        <v>3.7</v>
      </c>
      <c r="D39" s="6">
        <v>12.1</v>
      </c>
      <c r="E39" s="9">
        <v>0.1</v>
      </c>
      <c r="F39" s="9">
        <v>1</v>
      </c>
      <c r="G39" s="7"/>
      <c r="H39" s="7"/>
      <c r="J39" s="7"/>
      <c r="K39" s="6">
        <f>C39*D39*E39*F39</f>
        <v>4.4770000000000003</v>
      </c>
      <c r="L39" s="29">
        <f>K39</f>
        <v>4.4770000000000003</v>
      </c>
    </row>
    <row r="40" spans="1:19" s="2" customFormat="1" x14ac:dyDescent="0.3">
      <c r="A40" s="28" t="s">
        <v>52</v>
      </c>
      <c r="B40" s="9"/>
      <c r="C40" s="6">
        <v>3.7</v>
      </c>
      <c r="D40" s="6">
        <v>12.1</v>
      </c>
      <c r="E40" s="9">
        <v>0.05</v>
      </c>
      <c r="F40" s="9">
        <v>1</v>
      </c>
      <c r="G40" s="7"/>
      <c r="H40" s="7"/>
      <c r="J40" s="7"/>
      <c r="K40" s="6">
        <f>C40*D40*E40*F40</f>
        <v>2.2385000000000002</v>
      </c>
      <c r="L40" s="29">
        <f>K40</f>
        <v>2.2385000000000002</v>
      </c>
    </row>
    <row r="41" spans="1:19" s="2" customFormat="1" x14ac:dyDescent="0.3">
      <c r="A41" s="7"/>
      <c r="B41" s="7"/>
      <c r="C41" s="7"/>
      <c r="D41" s="7"/>
      <c r="E41" s="7"/>
      <c r="F41" s="7"/>
      <c r="G41" s="7"/>
      <c r="H41" s="7"/>
      <c r="J41" s="7"/>
      <c r="K41" s="7"/>
    </row>
    <row r="42" spans="1:19" s="2" customFormat="1" x14ac:dyDescent="0.3">
      <c r="A42" s="110" t="s">
        <v>53</v>
      </c>
      <c r="B42" s="9" t="s">
        <v>54</v>
      </c>
      <c r="C42" s="6">
        <v>0.3</v>
      </c>
      <c r="D42" s="6">
        <v>1.5</v>
      </c>
      <c r="E42" s="9">
        <v>0.15</v>
      </c>
      <c r="F42" s="9">
        <v>1</v>
      </c>
      <c r="G42" s="7"/>
      <c r="H42" s="7"/>
      <c r="J42" s="7"/>
      <c r="K42" s="6">
        <f>C42*D42*E42*F42</f>
        <v>6.7499999999999991E-2</v>
      </c>
      <c r="L42" s="113">
        <f>K42+K43+K44+K45</f>
        <v>1.125</v>
      </c>
    </row>
    <row r="43" spans="1:19" s="2" customFormat="1" x14ac:dyDescent="0.3">
      <c r="A43" s="111"/>
      <c r="B43" s="9" t="s">
        <v>55</v>
      </c>
      <c r="C43" s="6">
        <v>0.3</v>
      </c>
      <c r="D43" s="6">
        <v>1.5</v>
      </c>
      <c r="E43" s="9">
        <v>0.3</v>
      </c>
      <c r="F43" s="9">
        <v>1</v>
      </c>
      <c r="G43" s="7"/>
      <c r="H43" s="7"/>
      <c r="J43" s="7"/>
      <c r="K43" s="6">
        <f>C43*D43*E43*F43</f>
        <v>0.13499999999999998</v>
      </c>
      <c r="L43" s="114"/>
    </row>
    <row r="44" spans="1:19" s="2" customFormat="1" x14ac:dyDescent="0.3">
      <c r="A44" s="111"/>
      <c r="B44" s="9" t="s">
        <v>56</v>
      </c>
      <c r="C44" s="6">
        <v>0.3</v>
      </c>
      <c r="D44" s="6">
        <v>1.5</v>
      </c>
      <c r="E44" s="9">
        <v>0.45</v>
      </c>
      <c r="F44" s="9">
        <v>1</v>
      </c>
      <c r="G44" s="7"/>
      <c r="H44" s="7"/>
      <c r="J44" s="7"/>
      <c r="K44" s="6">
        <f>C44*D44*E44*F44</f>
        <v>0.20249999999999999</v>
      </c>
      <c r="L44" s="114"/>
    </row>
    <row r="45" spans="1:19" s="2" customFormat="1" x14ac:dyDescent="0.3">
      <c r="A45" s="112"/>
      <c r="B45" s="9" t="s">
        <v>57</v>
      </c>
      <c r="C45" s="6">
        <v>0.8</v>
      </c>
      <c r="D45" s="6">
        <v>1.5</v>
      </c>
      <c r="E45" s="9">
        <v>0.6</v>
      </c>
      <c r="F45" s="9">
        <v>1</v>
      </c>
      <c r="G45" s="7"/>
      <c r="H45" s="7"/>
      <c r="J45" s="7"/>
      <c r="K45" s="6">
        <f>C45*D45*E45*F45</f>
        <v>0.72000000000000008</v>
      </c>
      <c r="L45" s="115"/>
    </row>
    <row r="46" spans="1:19" s="2" customFormat="1" x14ac:dyDescent="0.3">
      <c r="A46" s="7"/>
      <c r="B46" s="7"/>
      <c r="C46" s="7"/>
      <c r="D46" s="7"/>
      <c r="E46" s="7"/>
      <c r="F46" s="7"/>
      <c r="G46" s="7"/>
      <c r="H46" s="7"/>
      <c r="J46" s="7"/>
      <c r="K46" s="7"/>
    </row>
    <row r="47" spans="1:19" s="2" customFormat="1" x14ac:dyDescent="0.3">
      <c r="A47" s="7"/>
      <c r="B47" s="7"/>
      <c r="C47" s="7"/>
      <c r="D47" s="7"/>
      <c r="E47" s="7"/>
      <c r="F47" s="7"/>
      <c r="G47" s="7"/>
      <c r="H47" s="7"/>
      <c r="J47" s="7"/>
      <c r="K47" s="7"/>
    </row>
    <row r="48" spans="1:19" s="14" customFormat="1" x14ac:dyDescent="0.3">
      <c r="A48" s="105" t="s">
        <v>58</v>
      </c>
      <c r="B48" s="105"/>
      <c r="C48" s="30" t="s">
        <v>11</v>
      </c>
      <c r="D48" s="30" t="s">
        <v>12</v>
      </c>
      <c r="E48" s="30" t="s">
        <v>13</v>
      </c>
      <c r="F48" s="30" t="s">
        <v>14</v>
      </c>
      <c r="G48" s="13"/>
      <c r="H48" s="105" t="s">
        <v>15</v>
      </c>
      <c r="I48" s="105"/>
      <c r="J48" s="13"/>
      <c r="K48" s="105" t="s">
        <v>16</v>
      </c>
      <c r="L48" s="105"/>
      <c r="N48" s="2"/>
    </row>
    <row r="49" spans="1:20" s="2" customFormat="1" x14ac:dyDescent="0.3">
      <c r="A49" s="7"/>
      <c r="B49" s="7"/>
      <c r="C49" s="7"/>
      <c r="D49" s="7"/>
      <c r="E49" s="7"/>
      <c r="F49" s="7"/>
      <c r="G49" s="7"/>
      <c r="H49" s="7"/>
      <c r="J49" s="7"/>
      <c r="K49" s="7"/>
    </row>
    <row r="50" spans="1:20" s="2" customFormat="1" x14ac:dyDescent="0.3">
      <c r="A50" s="110" t="s">
        <v>17</v>
      </c>
      <c r="B50" s="9" t="s">
        <v>59</v>
      </c>
      <c r="C50" s="9">
        <f>0.2+0.5+0.2</f>
        <v>0.89999999999999991</v>
      </c>
      <c r="D50" s="9">
        <f>0.2+2+0.2</f>
        <v>2.4000000000000004</v>
      </c>
      <c r="E50" s="9">
        <v>0.55000000000000004</v>
      </c>
      <c r="F50" s="9">
        <v>2</v>
      </c>
      <c r="G50" s="7"/>
      <c r="H50" s="7"/>
      <c r="I50" s="10"/>
      <c r="J50" s="7"/>
      <c r="K50" s="6">
        <f>C50*D50*E50*F50</f>
        <v>2.3760000000000003</v>
      </c>
      <c r="L50" s="104">
        <f>K50+K51</f>
        <v>3.7620000000000005</v>
      </c>
    </row>
    <row r="51" spans="1:20" s="2" customFormat="1" x14ac:dyDescent="0.3">
      <c r="A51" s="112"/>
      <c r="B51" s="9" t="s">
        <v>60</v>
      </c>
      <c r="C51" s="9">
        <f>0.2+0.5+0.2</f>
        <v>0.89999999999999991</v>
      </c>
      <c r="D51" s="9">
        <f>0.2+1+0.2</f>
        <v>1.4</v>
      </c>
      <c r="E51" s="9">
        <v>0.55000000000000004</v>
      </c>
      <c r="F51" s="9">
        <v>2</v>
      </c>
      <c r="G51" s="7"/>
      <c r="H51" s="7"/>
      <c r="I51" s="10"/>
      <c r="J51" s="7"/>
      <c r="K51" s="6">
        <f>C51*D51*E51*F51</f>
        <v>1.3859999999999999</v>
      </c>
      <c r="L51" s="104"/>
    </row>
    <row r="52" spans="1:20" s="2" customFormat="1" x14ac:dyDescent="0.3">
      <c r="A52" s="110" t="s">
        <v>20</v>
      </c>
      <c r="B52" s="9" t="s">
        <v>59</v>
      </c>
      <c r="C52" s="9">
        <f>0.2+0.5+0.2</f>
        <v>0.89999999999999991</v>
      </c>
      <c r="D52" s="9">
        <f>0.2+2+0.2</f>
        <v>2.4000000000000004</v>
      </c>
      <c r="E52" s="9"/>
      <c r="F52" s="9">
        <v>2</v>
      </c>
      <c r="G52" s="7"/>
      <c r="H52" s="6">
        <f>C52*D52*F52</f>
        <v>4.32</v>
      </c>
      <c r="I52" s="113">
        <f>H52+H53</f>
        <v>6.84</v>
      </c>
      <c r="J52" s="7"/>
      <c r="K52" s="16"/>
      <c r="L52" s="17"/>
    </row>
    <row r="53" spans="1:20" s="2" customFormat="1" x14ac:dyDescent="0.3">
      <c r="A53" s="112"/>
      <c r="B53" s="9" t="s">
        <v>60</v>
      </c>
      <c r="C53" s="9">
        <f>0.2+0.5+0.2</f>
        <v>0.89999999999999991</v>
      </c>
      <c r="D53" s="9">
        <f>0.2+1+0.2</f>
        <v>1.4</v>
      </c>
      <c r="E53" s="9"/>
      <c r="F53" s="9">
        <v>2</v>
      </c>
      <c r="G53" s="7"/>
      <c r="H53" s="6">
        <f>C53*D53*F53</f>
        <v>2.5199999999999996</v>
      </c>
      <c r="I53" s="115"/>
      <c r="J53" s="7"/>
      <c r="K53" s="16"/>
      <c r="L53" s="17"/>
    </row>
    <row r="54" spans="1:20" s="2" customFormat="1" x14ac:dyDescent="0.3">
      <c r="A54" s="7"/>
      <c r="B54" s="7"/>
      <c r="C54" s="7"/>
      <c r="D54" s="7"/>
      <c r="E54" s="7"/>
      <c r="F54" s="7"/>
      <c r="G54" s="7"/>
      <c r="H54" s="7"/>
      <c r="J54" s="7"/>
      <c r="K54" s="7"/>
    </row>
    <row r="55" spans="1:20" s="2" customFormat="1" x14ac:dyDescent="0.3">
      <c r="A55" s="28" t="s">
        <v>21</v>
      </c>
      <c r="B55" s="8">
        <f>(C61*D61*0.5*F61)+(C62*D62*F62)</f>
        <v>2</v>
      </c>
      <c r="C55" s="9"/>
      <c r="D55" s="9"/>
      <c r="E55" s="9"/>
      <c r="F55" s="9"/>
      <c r="G55" s="7"/>
      <c r="H55" s="7"/>
      <c r="I55" s="10"/>
      <c r="J55" s="7"/>
      <c r="K55" s="6"/>
      <c r="L55" s="29">
        <f>L50-B55</f>
        <v>1.7620000000000005</v>
      </c>
      <c r="M55" s="11"/>
    </row>
    <row r="56" spans="1:20" s="2" customFormat="1" x14ac:dyDescent="0.3">
      <c r="A56" s="33"/>
      <c r="B56" s="15"/>
      <c r="C56" s="7"/>
      <c r="D56" s="7"/>
      <c r="E56" s="7"/>
      <c r="F56" s="7"/>
      <c r="G56" s="7"/>
      <c r="H56" s="7"/>
      <c r="I56" s="10"/>
      <c r="J56" s="7"/>
      <c r="K56" s="16"/>
      <c r="L56" s="34"/>
      <c r="M56" s="11"/>
      <c r="O56" s="35" t="s">
        <v>22</v>
      </c>
    </row>
    <row r="57" spans="1:20" s="2" customFormat="1" x14ac:dyDescent="0.3">
      <c r="A57" s="7"/>
      <c r="B57" s="7"/>
      <c r="C57" s="7"/>
      <c r="D57" s="7"/>
      <c r="E57" s="7"/>
      <c r="F57" s="7"/>
      <c r="G57" s="7"/>
      <c r="H57" s="7"/>
      <c r="J57" s="7"/>
      <c r="K57" s="16"/>
      <c r="L57" s="11"/>
      <c r="O57" s="2" t="s">
        <v>24</v>
      </c>
      <c r="P57" s="39" t="s">
        <v>25</v>
      </c>
      <c r="Q57" s="21" t="s">
        <v>26</v>
      </c>
      <c r="R57" s="39" t="s">
        <v>27</v>
      </c>
      <c r="S57" s="39" t="s">
        <v>28</v>
      </c>
    </row>
    <row r="58" spans="1:20" s="2" customFormat="1" x14ac:dyDescent="0.3">
      <c r="A58" s="38" t="s">
        <v>23</v>
      </c>
      <c r="B58" s="9" t="s">
        <v>61</v>
      </c>
      <c r="C58" s="6">
        <v>0.5</v>
      </c>
      <c r="D58" s="6">
        <v>2</v>
      </c>
      <c r="E58" s="9">
        <v>0.05</v>
      </c>
      <c r="F58" s="9">
        <v>2</v>
      </c>
      <c r="G58" s="7"/>
      <c r="H58" s="7"/>
      <c r="I58" s="12"/>
      <c r="J58" s="7"/>
      <c r="K58" s="6">
        <f>C58*D58*E58*F58</f>
        <v>0.1</v>
      </c>
      <c r="L58" s="29">
        <f>K58</f>
        <v>0.1</v>
      </c>
      <c r="O58" s="15">
        <f>(1/10*1.52)*L58</f>
        <v>1.5200000000000003E-2</v>
      </c>
      <c r="P58" s="37">
        <f>O58/0.035</f>
        <v>0.43428571428571433</v>
      </c>
      <c r="Q58" s="26">
        <f>P58*50</f>
        <v>21.714285714285715</v>
      </c>
      <c r="R58" s="37">
        <f>(3/10*1.52)*L58</f>
        <v>4.5600000000000002E-2</v>
      </c>
      <c r="S58" s="37">
        <f>(6/10*1.52)*L58</f>
        <v>9.1200000000000003E-2</v>
      </c>
    </row>
    <row r="59" spans="1:20" s="2" customFormat="1" x14ac:dyDescent="0.3">
      <c r="A59" s="33"/>
      <c r="B59" s="7"/>
      <c r="C59" s="16"/>
      <c r="D59" s="16"/>
      <c r="E59" s="7"/>
      <c r="F59" s="7"/>
      <c r="G59" s="7"/>
      <c r="H59" s="7"/>
      <c r="I59" s="12"/>
      <c r="J59" s="7"/>
      <c r="K59" s="16"/>
      <c r="L59" s="34"/>
      <c r="O59" s="15"/>
      <c r="P59" s="43"/>
      <c r="Q59" s="26"/>
      <c r="R59" s="43"/>
      <c r="S59" s="43"/>
    </row>
    <row r="60" spans="1:20" s="2" customFormat="1" x14ac:dyDescent="0.3">
      <c r="A60" s="7"/>
      <c r="B60" s="7"/>
      <c r="C60" s="7"/>
      <c r="D60" s="7"/>
      <c r="E60" s="7"/>
      <c r="F60" s="7"/>
      <c r="G60" s="7"/>
      <c r="H60" s="7"/>
      <c r="J60" s="7"/>
      <c r="K60" s="16"/>
      <c r="L60" s="11"/>
      <c r="N60"/>
      <c r="O60" s="40" t="s">
        <v>29</v>
      </c>
      <c r="P60"/>
      <c r="Q60"/>
      <c r="R60"/>
    </row>
    <row r="61" spans="1:20" s="2" customFormat="1" x14ac:dyDescent="0.3">
      <c r="A61" s="108" t="s">
        <v>30</v>
      </c>
      <c r="B61" s="9" t="s">
        <v>59</v>
      </c>
      <c r="C61" s="6">
        <v>0.5</v>
      </c>
      <c r="D61" s="6">
        <v>2</v>
      </c>
      <c r="E61" s="9">
        <f>0.5+1</f>
        <v>1.5</v>
      </c>
      <c r="F61" s="9">
        <v>2</v>
      </c>
      <c r="G61" s="7"/>
      <c r="H61" s="7"/>
      <c r="I61" s="10"/>
      <c r="J61" s="7"/>
      <c r="K61" s="6">
        <f>C61*D61*E61*F61</f>
        <v>3</v>
      </c>
      <c r="L61" s="117">
        <f>K61+K62</f>
        <v>4.5</v>
      </c>
      <c r="M61" s="23"/>
      <c r="N61"/>
      <c r="O61" s="2" t="s">
        <v>24</v>
      </c>
      <c r="P61" s="44" t="s">
        <v>25</v>
      </c>
      <c r="Q61" s="21" t="s">
        <v>26</v>
      </c>
      <c r="R61" s="44" t="s">
        <v>27</v>
      </c>
    </row>
    <row r="62" spans="1:20" s="2" customFormat="1" x14ac:dyDescent="0.3">
      <c r="A62" s="116"/>
      <c r="B62" s="9" t="s">
        <v>60</v>
      </c>
      <c r="C62" s="6">
        <v>0.5</v>
      </c>
      <c r="D62" s="6">
        <v>1</v>
      </c>
      <c r="E62" s="9">
        <f>0.5+1</f>
        <v>1.5</v>
      </c>
      <c r="F62" s="9">
        <v>2</v>
      </c>
      <c r="G62" s="7"/>
      <c r="H62" s="15"/>
      <c r="I62" s="10"/>
      <c r="J62" s="7"/>
      <c r="K62" s="6">
        <f>C62*D62*E62*F62</f>
        <v>1.5</v>
      </c>
      <c r="L62" s="117"/>
      <c r="M62" s="23"/>
      <c r="N62" s="41">
        <f>L61</f>
        <v>4.5</v>
      </c>
      <c r="O62" s="15">
        <f>0.35*(1/7*1.33)*N62</f>
        <v>0.29924999999999996</v>
      </c>
      <c r="P62" s="45">
        <f>O62/0.035</f>
        <v>8.5499999999999989</v>
      </c>
      <c r="Q62" s="26">
        <f>P62*50</f>
        <v>427.49999999999994</v>
      </c>
      <c r="R62" s="45">
        <f>0.35*(6/7*1.33)*N62</f>
        <v>1.7954999999999999</v>
      </c>
    </row>
    <row r="63" spans="1:20" s="2" customFormat="1" x14ac:dyDescent="0.3">
      <c r="A63" s="7"/>
      <c r="B63" s="7"/>
      <c r="C63" s="7"/>
      <c r="D63" s="7"/>
      <c r="E63" s="7"/>
      <c r="F63" s="7"/>
      <c r="G63" s="7"/>
      <c r="H63" s="7"/>
      <c r="J63" s="7"/>
      <c r="K63" s="16"/>
      <c r="L63" s="11"/>
    </row>
    <row r="64" spans="1:20" s="2" customFormat="1" x14ac:dyDescent="0.3">
      <c r="A64" s="109" t="s">
        <v>32</v>
      </c>
      <c r="B64" s="9" t="s">
        <v>59</v>
      </c>
      <c r="C64" s="8">
        <v>0.35</v>
      </c>
      <c r="D64" s="6">
        <v>2</v>
      </c>
      <c r="E64" s="8">
        <v>2.2000000000000002</v>
      </c>
      <c r="F64" s="9">
        <v>2</v>
      </c>
      <c r="G64" s="7"/>
      <c r="H64" s="7"/>
      <c r="I64" s="10"/>
      <c r="J64" s="7"/>
      <c r="K64" s="6">
        <f>C64*D64*E64*F64</f>
        <v>3.08</v>
      </c>
      <c r="L64" s="104">
        <f>K64+K65-K66</f>
        <v>4.55</v>
      </c>
      <c r="M64" s="23"/>
      <c r="Q64" s="40" t="s">
        <v>31</v>
      </c>
      <c r="R64"/>
      <c r="S64"/>
      <c r="T64"/>
    </row>
    <row r="65" spans="1:20" s="2" customFormat="1" x14ac:dyDescent="0.3">
      <c r="A65" s="109"/>
      <c r="B65" s="9" t="s">
        <v>60</v>
      </c>
      <c r="C65" s="8">
        <v>0.35</v>
      </c>
      <c r="D65" s="6">
        <v>1.3</v>
      </c>
      <c r="E65" s="8">
        <v>2.2000000000000002</v>
      </c>
      <c r="F65" s="9">
        <v>2</v>
      </c>
      <c r="G65" s="7"/>
      <c r="H65" s="15"/>
      <c r="I65" s="10"/>
      <c r="J65" s="7"/>
      <c r="K65" s="6">
        <f>C65*D65*E65*F65</f>
        <v>2.0019999999999998</v>
      </c>
      <c r="L65" s="104"/>
      <c r="M65" s="23"/>
      <c r="O65" s="2" t="s">
        <v>33</v>
      </c>
      <c r="P65" s="31" t="s">
        <v>34</v>
      </c>
      <c r="Q65" s="2" t="s">
        <v>24</v>
      </c>
      <c r="R65" s="31" t="s">
        <v>25</v>
      </c>
      <c r="S65" s="21" t="s">
        <v>26</v>
      </c>
      <c r="T65" s="31" t="s">
        <v>27</v>
      </c>
    </row>
    <row r="66" spans="1:20" s="2" customFormat="1" x14ac:dyDescent="0.3">
      <c r="A66" s="109"/>
      <c r="B66" s="9" t="s">
        <v>62</v>
      </c>
      <c r="C66" s="8">
        <v>0.35</v>
      </c>
      <c r="D66" s="6">
        <v>0.8</v>
      </c>
      <c r="E66" s="6">
        <v>1.9</v>
      </c>
      <c r="F66" s="9">
        <v>1</v>
      </c>
      <c r="G66" s="7"/>
      <c r="H66" s="15"/>
      <c r="I66" s="10"/>
      <c r="J66" s="7"/>
      <c r="K66" s="6">
        <f>C66*D66*E66*F66</f>
        <v>0.53199999999999992</v>
      </c>
      <c r="L66" s="104"/>
      <c r="M66" s="23"/>
      <c r="O66" s="25">
        <f>(0.22+0.02)*(0.11+0.02)*(0.06+0.02)</f>
        <v>2.496E-3</v>
      </c>
      <c r="P66" s="32">
        <f>L64/O66</f>
        <v>1822.9166666666665</v>
      </c>
      <c r="Q66" s="15">
        <f>0.175*(1/7*1.33)*L64</f>
        <v>0.15128749999999996</v>
      </c>
      <c r="R66" s="42">
        <f>Q66/0.035</f>
        <v>4.3224999999999989</v>
      </c>
      <c r="S66" s="26">
        <f>R66*50</f>
        <v>216.12499999999994</v>
      </c>
      <c r="T66" s="42">
        <f>0.175*(6/7*1.33)*L64</f>
        <v>0.90772499999999989</v>
      </c>
    </row>
    <row r="67" spans="1:20" s="2" customFormat="1" x14ac:dyDescent="0.3">
      <c r="A67" s="7"/>
      <c r="B67" s="7"/>
      <c r="C67" s="7"/>
      <c r="D67" s="7"/>
      <c r="E67" s="7"/>
      <c r="F67" s="7"/>
      <c r="G67" s="7"/>
      <c r="H67" s="7"/>
      <c r="J67" s="7"/>
      <c r="K67" s="7"/>
    </row>
    <row r="68" spans="1:20" s="2" customFormat="1" x14ac:dyDescent="0.3">
      <c r="J68" s="7"/>
      <c r="K68" s="7"/>
    </row>
    <row r="69" spans="1:20" s="2" customFormat="1" x14ac:dyDescent="0.3">
      <c r="A69" s="33"/>
      <c r="B69" s="15"/>
      <c r="C69" s="7"/>
      <c r="D69" s="7"/>
      <c r="E69" s="7"/>
      <c r="F69" s="7"/>
      <c r="G69" s="7"/>
      <c r="H69" s="7"/>
      <c r="I69" s="10"/>
      <c r="J69" s="7"/>
      <c r="K69" s="16"/>
      <c r="L69" s="34"/>
      <c r="M69" s="11"/>
      <c r="O69" s="35" t="s">
        <v>22</v>
      </c>
    </row>
    <row r="70" spans="1:20" s="2" customFormat="1" x14ac:dyDescent="0.3">
      <c r="A70" s="28" t="s">
        <v>47</v>
      </c>
      <c r="B70" s="9"/>
      <c r="C70" s="6">
        <v>2</v>
      </c>
      <c r="D70" s="6">
        <v>2</v>
      </c>
      <c r="E70" s="9"/>
      <c r="F70" s="9">
        <v>1</v>
      </c>
      <c r="G70" s="7"/>
      <c r="H70" s="6">
        <f>C70*D70*F70</f>
        <v>4</v>
      </c>
      <c r="I70" s="29">
        <f>H70</f>
        <v>4</v>
      </c>
      <c r="J70" s="7"/>
      <c r="K70" s="16"/>
      <c r="L70" s="11"/>
      <c r="O70" s="2" t="s">
        <v>24</v>
      </c>
      <c r="P70" s="39" t="s">
        <v>25</v>
      </c>
      <c r="Q70" s="21" t="s">
        <v>26</v>
      </c>
      <c r="R70" s="39" t="s">
        <v>27</v>
      </c>
      <c r="S70" s="39" t="s">
        <v>28</v>
      </c>
    </row>
    <row r="71" spans="1:20" s="2" customFormat="1" x14ac:dyDescent="0.3">
      <c r="A71" s="38" t="s">
        <v>48</v>
      </c>
      <c r="B71" s="9"/>
      <c r="C71" s="6">
        <v>2</v>
      </c>
      <c r="D71" s="6">
        <v>2</v>
      </c>
      <c r="E71" s="9">
        <v>0.05</v>
      </c>
      <c r="F71" s="9">
        <v>1</v>
      </c>
      <c r="G71" s="7"/>
      <c r="H71" s="7"/>
      <c r="I71" s="12"/>
      <c r="J71" s="7"/>
      <c r="K71" s="6">
        <f>C71*D71*E71*F71</f>
        <v>0.2</v>
      </c>
      <c r="L71" s="29">
        <f>K71</f>
        <v>0.2</v>
      </c>
      <c r="O71" s="15">
        <f>(1/10*1.52)*L71</f>
        <v>3.0400000000000007E-2</v>
      </c>
      <c r="P71" s="37">
        <f>O71/0.035</f>
        <v>0.86857142857142866</v>
      </c>
      <c r="Q71" s="26">
        <f>P71*50</f>
        <v>43.428571428571431</v>
      </c>
      <c r="R71" s="37">
        <f>(3/10*1.52)*L71</f>
        <v>9.1200000000000003E-2</v>
      </c>
      <c r="S71" s="37">
        <f>(6/10*1.52)*L71</f>
        <v>0.18240000000000001</v>
      </c>
    </row>
    <row r="72" spans="1:20" s="2" customFormat="1" x14ac:dyDescent="0.3">
      <c r="A72" s="33"/>
      <c r="B72" s="7"/>
      <c r="C72" s="16"/>
      <c r="D72" s="16"/>
      <c r="E72" s="7"/>
      <c r="F72" s="7"/>
      <c r="G72" s="7"/>
      <c r="H72" s="7"/>
      <c r="I72" s="12"/>
      <c r="J72" s="7"/>
      <c r="K72" s="16"/>
      <c r="L72" s="34"/>
    </row>
    <row r="73" spans="1:20" s="2" customFormat="1" x14ac:dyDescent="0.3">
      <c r="A73" s="7"/>
      <c r="B73" s="7"/>
      <c r="C73" s="7"/>
      <c r="D73" s="7"/>
      <c r="E73" s="7"/>
      <c r="F73" s="7"/>
      <c r="G73" s="7"/>
      <c r="H73" s="7"/>
      <c r="J73" s="7"/>
      <c r="K73" s="7"/>
    </row>
    <row r="74" spans="1:20" s="2" customFormat="1" x14ac:dyDescent="0.3">
      <c r="A74" s="28" t="s">
        <v>63</v>
      </c>
      <c r="B74" s="9"/>
      <c r="C74" s="6">
        <v>1.2</v>
      </c>
      <c r="D74" s="6">
        <v>1.2</v>
      </c>
      <c r="E74" s="9">
        <v>0.05</v>
      </c>
      <c r="F74" s="9">
        <v>1</v>
      </c>
      <c r="G74" s="7"/>
      <c r="H74" s="7"/>
      <c r="I74" s="12"/>
      <c r="J74" s="7"/>
      <c r="K74" s="6">
        <f>C74*D74*E74*F74</f>
        <v>7.1999999999999995E-2</v>
      </c>
      <c r="L74" s="24">
        <f>K74</f>
        <v>7.1999999999999995E-2</v>
      </c>
    </row>
    <row r="75" spans="1:20" s="2" customFormat="1" x14ac:dyDescent="0.3">
      <c r="A75" s="28" t="s">
        <v>64</v>
      </c>
      <c r="B75" s="9" t="s">
        <v>65</v>
      </c>
      <c r="C75" s="8">
        <v>0.66</v>
      </c>
      <c r="D75" s="8">
        <v>0.66</v>
      </c>
      <c r="E75" s="9">
        <v>0.1</v>
      </c>
      <c r="F75" s="9">
        <v>1</v>
      </c>
      <c r="G75" s="7"/>
      <c r="H75" s="7"/>
      <c r="I75" s="12"/>
      <c r="J75" s="7"/>
      <c r="K75" s="8">
        <f>C75*D75*E75*F75</f>
        <v>4.3560000000000008E-2</v>
      </c>
      <c r="L75" s="24">
        <f>K75</f>
        <v>4.3560000000000008E-2</v>
      </c>
    </row>
    <row r="76" spans="1:20" s="2" customFormat="1" x14ac:dyDescent="0.3">
      <c r="A76" s="7"/>
      <c r="B76" s="7"/>
      <c r="C76" s="7"/>
      <c r="D76" s="7"/>
      <c r="E76" s="7"/>
      <c r="F76" s="7"/>
      <c r="G76" s="7"/>
      <c r="H76" s="7"/>
      <c r="J76" s="7"/>
      <c r="K76" s="7"/>
    </row>
    <row r="77" spans="1:20" s="2" customFormat="1" x14ac:dyDescent="0.3">
      <c r="A77" s="110" t="s">
        <v>53</v>
      </c>
      <c r="B77" s="9" t="s">
        <v>54</v>
      </c>
      <c r="C77" s="6">
        <v>0.3</v>
      </c>
      <c r="D77" s="6">
        <v>0.8</v>
      </c>
      <c r="E77" s="9">
        <v>0.2</v>
      </c>
      <c r="F77" s="9">
        <v>1</v>
      </c>
      <c r="G77" s="7"/>
      <c r="H77" s="7"/>
      <c r="J77" s="7"/>
      <c r="K77" s="6">
        <f>C77*D77*E77*F77</f>
        <v>4.8000000000000001E-2</v>
      </c>
      <c r="L77" s="113">
        <f>K77+K78+K79+K80</f>
        <v>0.80000000000000016</v>
      </c>
    </row>
    <row r="78" spans="1:20" s="2" customFormat="1" x14ac:dyDescent="0.3">
      <c r="A78" s="111"/>
      <c r="B78" s="9" t="s">
        <v>55</v>
      </c>
      <c r="C78" s="6">
        <v>0.3</v>
      </c>
      <c r="D78" s="6">
        <v>0.8</v>
      </c>
      <c r="E78" s="9">
        <v>0.4</v>
      </c>
      <c r="F78" s="9">
        <v>1</v>
      </c>
      <c r="G78" s="7"/>
      <c r="H78" s="7"/>
      <c r="J78" s="7"/>
      <c r="K78" s="6">
        <f>C78*D78*E78*F78</f>
        <v>9.6000000000000002E-2</v>
      </c>
      <c r="L78" s="114"/>
    </row>
    <row r="79" spans="1:20" s="2" customFormat="1" x14ac:dyDescent="0.3">
      <c r="A79" s="111"/>
      <c r="B79" s="9" t="s">
        <v>56</v>
      </c>
      <c r="C79" s="6">
        <v>0.3</v>
      </c>
      <c r="D79" s="6">
        <v>0.8</v>
      </c>
      <c r="E79" s="9">
        <v>0.6</v>
      </c>
      <c r="F79" s="9">
        <v>1</v>
      </c>
      <c r="G79" s="7"/>
      <c r="H79" s="7"/>
      <c r="J79" s="7"/>
      <c r="K79" s="6">
        <f>C79*D79*E79*F79</f>
        <v>0.14399999999999999</v>
      </c>
      <c r="L79" s="114"/>
    </row>
    <row r="80" spans="1:20" s="2" customFormat="1" x14ac:dyDescent="0.3">
      <c r="A80" s="112"/>
      <c r="B80" s="9" t="s">
        <v>57</v>
      </c>
      <c r="C80" s="6">
        <v>0.8</v>
      </c>
      <c r="D80" s="6">
        <v>0.8</v>
      </c>
      <c r="E80" s="9">
        <v>0.8</v>
      </c>
      <c r="F80" s="9">
        <v>1</v>
      </c>
      <c r="G80" s="7"/>
      <c r="H80" s="7"/>
      <c r="J80" s="7"/>
      <c r="K80" s="6">
        <f>C80*D80*E80*F80</f>
        <v>0.51200000000000012</v>
      </c>
      <c r="L80" s="115"/>
    </row>
    <row r="81" spans="1:11" s="2" customFormat="1" x14ac:dyDescent="0.3">
      <c r="A81" s="7"/>
      <c r="B81" s="7"/>
      <c r="C81" s="7"/>
      <c r="D81" s="7"/>
      <c r="E81" s="7"/>
      <c r="F81" s="7"/>
      <c r="G81" s="7"/>
      <c r="H81" s="7"/>
      <c r="J81" s="7"/>
      <c r="K81" s="7"/>
    </row>
    <row r="82" spans="1:11" s="2" customFormat="1" x14ac:dyDescent="0.3">
      <c r="A82" s="7"/>
      <c r="B82" s="7"/>
      <c r="C82" s="7"/>
      <c r="D82" s="7"/>
      <c r="E82" s="7"/>
      <c r="F82" s="7"/>
      <c r="G82" s="7"/>
      <c r="H82" s="7"/>
      <c r="J82" s="7"/>
      <c r="K82" s="7"/>
    </row>
    <row r="83" spans="1:11" s="2" customFormat="1" x14ac:dyDescent="0.3">
      <c r="A83" s="7"/>
      <c r="B83" s="7"/>
      <c r="C83" s="7"/>
      <c r="D83" s="7"/>
      <c r="E83" s="7"/>
      <c r="F83" s="7"/>
      <c r="G83" s="7"/>
      <c r="H83" s="7"/>
      <c r="J83" s="7"/>
      <c r="K83" s="7"/>
    </row>
    <row r="84" spans="1:11" s="2" customFormat="1" x14ac:dyDescent="0.3">
      <c r="A84" s="7"/>
      <c r="B84" s="7"/>
      <c r="C84" s="7"/>
      <c r="D84" s="7"/>
      <c r="E84" s="7"/>
      <c r="F84" s="7"/>
      <c r="G84" s="7"/>
      <c r="H84" s="7"/>
      <c r="J84" s="7"/>
      <c r="K84" s="7"/>
    </row>
  </sheetData>
  <mergeCells count="30">
    <mergeCell ref="A64:A66"/>
    <mergeCell ref="L64:L66"/>
    <mergeCell ref="A77:A80"/>
    <mergeCell ref="L77:L80"/>
    <mergeCell ref="A50:A51"/>
    <mergeCell ref="L50:L51"/>
    <mergeCell ref="A52:A53"/>
    <mergeCell ref="I52:I53"/>
    <mergeCell ref="A61:A62"/>
    <mergeCell ref="L61:L62"/>
    <mergeCell ref="A29:A32"/>
    <mergeCell ref="I29:I32"/>
    <mergeCell ref="A42:A45"/>
    <mergeCell ref="L42:L45"/>
    <mergeCell ref="A48:B48"/>
    <mergeCell ref="H48:I48"/>
    <mergeCell ref="K48:L48"/>
    <mergeCell ref="A11:A12"/>
    <mergeCell ref="L11:L12"/>
    <mergeCell ref="A15:A16"/>
    <mergeCell ref="L15:L16"/>
    <mergeCell ref="A19:A25"/>
    <mergeCell ref="L19:L25"/>
    <mergeCell ref="A6:A7"/>
    <mergeCell ref="I6:I7"/>
    <mergeCell ref="A2:B2"/>
    <mergeCell ref="H2:I2"/>
    <mergeCell ref="K2:L2"/>
    <mergeCell ref="A4:A5"/>
    <mergeCell ref="L4:L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97154FB6B93F42BF5E4B42766B9CA1" ma:contentTypeVersion="17" ma:contentTypeDescription="Create a new document." ma:contentTypeScope="" ma:versionID="956fdf44634306e30b5c0b8ec962a8ba">
  <xsd:schema xmlns:xsd="http://www.w3.org/2001/XMLSchema" xmlns:xs="http://www.w3.org/2001/XMLSchema" xmlns:p="http://schemas.microsoft.com/office/2006/metadata/properties" xmlns:ns2="e17ed4e5-84f5-4645-8e88-72d967b1c846" xmlns:ns3="2ad314f3-2745-4330-b0d8-d50ee7e7a8f3" targetNamespace="http://schemas.microsoft.com/office/2006/metadata/properties" ma:root="true" ma:fieldsID="6fad8c77dfffd4d19c566f24ea46e53e" ns2:_="" ns3:_="">
    <xsd:import namespace="e17ed4e5-84f5-4645-8e88-72d967b1c846"/>
    <xsd:import namespace="2ad314f3-2745-4330-b0d8-d50ee7e7a8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ContentDescrip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7ed4e5-84f5-4645-8e88-72d967b1c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ContentDescription" ma:index="18" nillable="true" ma:displayName="Content Description" ma:format="Dropdown" ma:internalName="ContentDescription">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ad314f3-2745-4330-b0d8-d50ee7e7a8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995c715-8898-4be6-90af-b22abe6c6dd8}" ma:internalName="TaxCatchAll" ma:showField="CatchAllData" ma:web="2ad314f3-2745-4330-b0d8-d50ee7e7a8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ntentDescription xmlns="e17ed4e5-84f5-4645-8e88-72d967b1c846" xsi:nil="true"/>
    <lcf76f155ced4ddcb4097134ff3c332f xmlns="e17ed4e5-84f5-4645-8e88-72d967b1c846">
      <Terms xmlns="http://schemas.microsoft.com/office/infopath/2007/PartnerControls"/>
    </lcf76f155ced4ddcb4097134ff3c332f>
    <TaxCatchAll xmlns="2ad314f3-2745-4330-b0d8-d50ee7e7a8f3" xsi:nil="true"/>
  </documentManagement>
</p:properties>
</file>

<file path=customXml/itemProps1.xml><?xml version="1.0" encoding="utf-8"?>
<ds:datastoreItem xmlns:ds="http://schemas.openxmlformats.org/officeDocument/2006/customXml" ds:itemID="{DEF69CBE-0EAD-458C-9314-6EBF33296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7ed4e5-84f5-4645-8e88-72d967b1c846"/>
    <ds:schemaRef ds:uri="2ad314f3-2745-4330-b0d8-d50ee7e7a8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E2BE46-4029-4E43-B9F8-56ADEB5E3BEB}">
  <ds:schemaRefs>
    <ds:schemaRef ds:uri="http://schemas.microsoft.com/sharepoint/v3/contenttype/forms"/>
  </ds:schemaRefs>
</ds:datastoreItem>
</file>

<file path=customXml/itemProps3.xml><?xml version="1.0" encoding="utf-8"?>
<ds:datastoreItem xmlns:ds="http://schemas.openxmlformats.org/officeDocument/2006/customXml" ds:itemID="{3B2CF54C-C0B9-4C6D-B8A6-231E20BC982A}">
  <ds:schemaRefs>
    <ds:schemaRef ds:uri="2ad314f3-2745-4330-b0d8-d50ee7e7a8f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17ed4e5-84f5-4645-8e88-72d967b1c84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SOJ_EC</vt:lpstr>
      <vt:lpstr>Quantities_Reg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JALIL ZIAEE</dc:creator>
  <cp:keywords/>
  <dc:description/>
  <cp:lastModifiedBy>HEWAD</cp:lastModifiedBy>
  <cp:revision/>
  <cp:lastPrinted>2023-05-10T03:31:51Z</cp:lastPrinted>
  <dcterms:created xsi:type="dcterms:W3CDTF">2020-08-19T05:09:01Z</dcterms:created>
  <dcterms:modified xsi:type="dcterms:W3CDTF">2024-01-09T07:41:51Z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0x010100FF97154FB6B93F42BF5E4B42766B9CA1</vt:lpwstr>
  </property>
  <property fmtid="{D5CDD505-2E9C-101B-9397-08002B2CF9AE}" pid="3" name="MediaServiceImageTags">
    <vt:lpwstr/>
  </property>
</Properties>
</file>